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ummary" sheetId="1" state="visible" r:id="rId2"/>
    <sheet name="PL" sheetId="2" state="visible" r:id="rId3"/>
    <sheet name="CF" sheetId="3" state="visible" r:id="rId4"/>
    <sheet name="Costs" sheetId="4" state="visible" r:id="rId5"/>
    <sheet name="Payroll" sheetId="5" state="visible" r:id="rId6"/>
    <sheet name="Capex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D4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RV will provide space
</t>
        </r>
      </text>
    </comment>
    <comment ref="D4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RV will provide
</t>
        </r>
      </text>
    </comment>
    <comment ref="D4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RV will provide
</t>
        </r>
      </text>
    </comment>
    <comment ref="G1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We are moving from pretotype to prototype
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ref="D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Cost of laptop and mobile phone has been added as allowance amortized over 24 months
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C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Rohith:
Cost of laptop and mobile phone has been added as allowance amortized over 24 months in Payroll
</t>
        </r>
      </text>
    </comment>
    <comment ref="C1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Rohith:
</t>
        </r>
        <r>
          <rPr>
            <sz val="9"/>
            <color rgb="FF000000"/>
            <rFont val="Tahoma"/>
            <family val="2"/>
            <charset val="1"/>
          </rPr>
          <t xml:space="preserve">Rohith:
Cost of laptop and mobile phone has been added as allowance amortized over 24 months in Payroll
</t>
        </r>
      </text>
    </comment>
  </commentList>
</comments>
</file>

<file path=xl/sharedStrings.xml><?xml version="1.0" encoding="utf-8"?>
<sst xmlns="http://schemas.openxmlformats.org/spreadsheetml/2006/main" count="297" uniqueCount="141">
  <si>
    <t xml:space="preserve">Rs. Lakhs</t>
  </si>
  <si>
    <t xml:space="preserve">Q1</t>
  </si>
  <si>
    <t xml:space="preserve">Q2</t>
  </si>
  <si>
    <t xml:space="preserve">Q3</t>
  </si>
  <si>
    <t xml:space="preserve">Q4</t>
  </si>
  <si>
    <t xml:space="preserve">Y1</t>
  </si>
  <si>
    <t xml:space="preserve">Cumulative # of customers</t>
  </si>
  <si>
    <t xml:space="preserve">Incremental # of families</t>
  </si>
  <si>
    <t xml:space="preserve">ARPU - average</t>
  </si>
  <si>
    <t xml:space="preserve">ARPU - subscription</t>
  </si>
  <si>
    <t xml:space="preserve">Skips</t>
  </si>
  <si>
    <t xml:space="preserve">ARPU - subscription (net)</t>
  </si>
  <si>
    <t xml:space="preserve">ARPU - a la carte</t>
  </si>
  <si>
    <t xml:space="preserve">Subscription %</t>
  </si>
  <si>
    <t xml:space="preserve">Ala-carte %</t>
  </si>
  <si>
    <t xml:space="preserve">Total</t>
  </si>
  <si>
    <t xml:space="preserve">BMTC rev share %</t>
  </si>
  <si>
    <t xml:space="preserve">REVENUE</t>
  </si>
  <si>
    <t xml:space="preserve">BMTC rev share</t>
  </si>
  <si>
    <t xml:space="preserve">CONTRIBUTION</t>
  </si>
  <si>
    <t xml:space="preserve">%</t>
  </si>
  <si>
    <t xml:space="preserve">DIRECT COSTS</t>
  </si>
  <si>
    <t xml:space="preserve">Operations costs</t>
  </si>
  <si>
    <t xml:space="preserve">TOTAL DIRECT COSTS</t>
  </si>
  <si>
    <t xml:space="preserve">GROSS MARGIN</t>
  </si>
  <si>
    <t xml:space="preserve">OVERHEADS</t>
  </si>
  <si>
    <t xml:space="preserve">HW RnD  costs</t>
  </si>
  <si>
    <t xml:space="preserve">Technology</t>
  </si>
  <si>
    <t xml:space="preserve">Sales and Marketing</t>
  </si>
  <si>
    <t xml:space="preserve">Corporate</t>
  </si>
  <si>
    <t xml:space="preserve">TOTAL OVERHEADS</t>
  </si>
  <si>
    <t xml:space="preserve">EBITDA (before R &amp; D)</t>
  </si>
  <si>
    <t xml:space="preserve">EBITDA</t>
  </si>
  <si>
    <t xml:space="preserve">Capex</t>
  </si>
  <si>
    <t xml:space="preserve">Net cash flow</t>
  </si>
  <si>
    <t xml:space="preserve">Opening cash</t>
  </si>
  <si>
    <t xml:space="preserve">Closing cash</t>
  </si>
  <si>
    <t xml:space="preserve">Peak cash deficit</t>
  </si>
  <si>
    <t xml:space="preserve">Phase 1</t>
  </si>
  <si>
    <t xml:space="preserve">Phase 2</t>
  </si>
  <si>
    <t xml:space="preserve">Pretotype</t>
  </si>
  <si>
    <t xml:space="preserve">Prototype</t>
  </si>
  <si>
    <t xml:space="preserve">Positioning</t>
  </si>
  <si>
    <t xml:space="preserve">Pricing</t>
  </si>
  <si>
    <t xml:space="preserve">Polish</t>
  </si>
  <si>
    <t xml:space="preserve">M1</t>
  </si>
  <si>
    <t xml:space="preserve">M2</t>
  </si>
  <si>
    <t xml:space="preserve">M3</t>
  </si>
  <si>
    <t xml:space="preserve">M4</t>
  </si>
  <si>
    <t xml:space="preserve">M5</t>
  </si>
  <si>
    <t xml:space="preserve">M6</t>
  </si>
  <si>
    <t xml:space="preserve">M7</t>
  </si>
  <si>
    <t xml:space="preserve">M8</t>
  </si>
  <si>
    <t xml:space="preserve">M9</t>
  </si>
  <si>
    <t xml:space="preserve">M10</t>
  </si>
  <si>
    <t xml:space="preserve">M11</t>
  </si>
  <si>
    <t xml:space="preserve">M12</t>
  </si>
  <si>
    <t xml:space="preserve">M13</t>
  </si>
  <si>
    <t xml:space="preserve">Cumulative # of consumers</t>
  </si>
  <si>
    <t xml:space="preserve">Incremental # of consumers</t>
  </si>
  <si>
    <t xml:space="preserve"># of pay per use/day/bus</t>
  </si>
  <si>
    <t xml:space="preserve">ARPU - Subscription</t>
  </si>
  <si>
    <t xml:space="preserve">ARPU - pay per use</t>
  </si>
  <si>
    <t xml:space="preserve">Revenue per unit per month</t>
  </si>
  <si>
    <t xml:space="preserve">Pay per use %</t>
  </si>
  <si>
    <t xml:space="preserve">BMTC Rev share</t>
  </si>
  <si>
    <t xml:space="preserve">Total REVENUE</t>
  </si>
  <si>
    <t xml:space="preserve">-</t>
  </si>
  <si>
    <t xml:space="preserve">Net cash flow ops : A</t>
  </si>
  <si>
    <t xml:space="preserve">Capex : B</t>
  </si>
  <si>
    <t xml:space="preserve">Cash infusion : C</t>
  </si>
  <si>
    <t xml:space="preserve">NET CASH FLOW (A+B+C)</t>
  </si>
  <si>
    <t xml:space="preserve"># of Customers</t>
  </si>
  <si>
    <t xml:space="preserve"># of incremental Customers</t>
  </si>
  <si>
    <t xml:space="preserve">Particulars</t>
  </si>
  <si>
    <t xml:space="preserve">Cost p.m.</t>
  </si>
  <si>
    <t xml:space="preserve">OPERATIONS</t>
  </si>
  <si>
    <t xml:space="preserve">Payroll</t>
  </si>
  <si>
    <t xml:space="preserve">Office internet</t>
  </si>
  <si>
    <t xml:space="preserve">Office pantry</t>
  </si>
  <si>
    <t xml:space="preserve">Customer care phone line</t>
  </si>
  <si>
    <t xml:space="preserve">Uniform - T shirts with logo and cap (2/employee)</t>
  </si>
  <si>
    <t xml:space="preserve">SMS costs</t>
  </si>
  <si>
    <t xml:space="preserve">Seat HW + Installation + Seat Poster + Tamper proof</t>
  </si>
  <si>
    <t xml:space="preserve">BUS HW (1/10 seats) + Installation</t>
  </si>
  <si>
    <t xml:space="preserve">Payment gateway commission</t>
  </si>
  <si>
    <t xml:space="preserve">HW RnD Material Costs</t>
  </si>
  <si>
    <t xml:space="preserve">Prototype </t>
  </si>
  <si>
    <t xml:space="preserve">Iterate</t>
  </si>
  <si>
    <t xml:space="preserve">TECHNOLOGY</t>
  </si>
  <si>
    <t xml:space="preserve">Hosting</t>
  </si>
  <si>
    <t xml:space="preserve">Internet</t>
  </si>
  <si>
    <t xml:space="preserve">Emails and other small licenses</t>
  </si>
  <si>
    <t xml:space="preserve">SALES AND MARKETING</t>
  </si>
  <si>
    <t xml:space="preserve">Sales Payroll</t>
  </si>
  <si>
    <t xml:space="preserve">Marketing Payroll</t>
  </si>
  <si>
    <t xml:space="preserve">Marketing Stalls</t>
  </si>
  <si>
    <t xml:space="preserve">Marketing material</t>
  </si>
  <si>
    <t xml:space="preserve">Advertising, referral, digital marketing</t>
  </si>
  <si>
    <t xml:space="preserve">TOTAL</t>
  </si>
  <si>
    <t xml:space="preserve">CORPORATE</t>
  </si>
  <si>
    <t xml:space="preserve">Compliance/audit fees</t>
  </si>
  <si>
    <t xml:space="preserve">Rent</t>
  </si>
  <si>
    <t xml:space="preserve">Utilities - electricity</t>
  </si>
  <si>
    <t xml:space="preserve">Travel &amp; conveyance</t>
  </si>
  <si>
    <t xml:space="preserve">Communication</t>
  </si>
  <si>
    <t xml:space="preserve">Staff welfare</t>
  </si>
  <si>
    <t xml:space="preserve"># of consumers</t>
  </si>
  <si>
    <t xml:space="preserve"># of consumers/seat/day</t>
  </si>
  <si>
    <t xml:space="preserve">Cat</t>
  </si>
  <si>
    <t xml:space="preserve">Gross salary
Cost p.m.</t>
  </si>
  <si>
    <t xml:space="preserve">Gross salary
Cost p.m.
2018 10% inc</t>
  </si>
  <si>
    <t xml:space="preserve">Var</t>
  </si>
  <si>
    <t xml:space="preserve">HW tech O&amp;M</t>
  </si>
  <si>
    <t xml:space="preserve">Ops</t>
  </si>
  <si>
    <t xml:space="preserve">Operations Manager</t>
  </si>
  <si>
    <t xml:space="preserve">Customer care</t>
  </si>
  <si>
    <t xml:space="preserve">Corporate Sales</t>
  </si>
  <si>
    <t xml:space="preserve">Sales</t>
  </si>
  <si>
    <t xml:space="preserve">Social media marketing</t>
  </si>
  <si>
    <t xml:space="preserve">Mktg</t>
  </si>
  <si>
    <t xml:space="preserve">Tech engineer</t>
  </si>
  <si>
    <t xml:space="preserve">Tech</t>
  </si>
  <si>
    <t xml:space="preserve">CEO</t>
  </si>
  <si>
    <t xml:space="preserve">Corp</t>
  </si>
  <si>
    <t xml:space="preserve">Peer-Mentor</t>
  </si>
  <si>
    <t xml:space="preserve">Admin, HR, Finance</t>
  </si>
  <si>
    <t xml:space="preserve">Total count</t>
  </si>
  <si>
    <t xml:space="preserve">Seats @ corporate</t>
  </si>
  <si>
    <t xml:space="preserve">Category</t>
  </si>
  <si>
    <t xml:space="preserve">Head of operations</t>
  </si>
  <si>
    <t xml:space="preserve">Social media manager </t>
  </si>
  <si>
    <t xml:space="preserve">Admin, HR</t>
  </si>
  <si>
    <t xml:space="preserve">Laptops</t>
  </si>
  <si>
    <t xml:space="preserve">Phones/tablet</t>
  </si>
  <si>
    <t xml:space="preserve">Others - licenses</t>
  </si>
  <si>
    <t xml:space="preserve">Laptop</t>
  </si>
  <si>
    <t xml:space="preserve">Operations, sales</t>
  </si>
  <si>
    <t xml:space="preserve">Phone/Tablet</t>
  </si>
  <si>
    <t xml:space="preserve">Sales </t>
  </si>
  <si>
    <t xml:space="preserve">Tablet/phone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</si>
</sst>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0%"/>
    <numFmt numFmtId="167" formatCode="0"/>
    <numFmt numFmtId="168" formatCode="MMM\-YY;@"/>
    <numFmt numFmtId="169" formatCode="_(* #,##0_);_(* \(#,##0\);_(* \-??_);_(@_)"/>
    <numFmt numFmtId="170" formatCode="#,##0;[RED]\-#,##0"/>
    <numFmt numFmtId="171" formatCode="_(* #,##0.0_);_(* \(#,##0.0\);_(* \-??_);_(@_)"/>
    <numFmt numFmtId="172" formatCode="_ * #,##0.00_ ;_ * \-#,##0.00_ ;_ * \-??_ ;_ @_ "/>
    <numFmt numFmtId="173" formatCode="0.00%"/>
    <numFmt numFmtId="174" formatCode="[$₹]#,##0.00"/>
    <numFmt numFmtId="175" formatCode="_ * #,##0_ ;_ * \-#,##0_ ;_ * \-??_ ;_ @_ 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b val="true"/>
      <i val="true"/>
      <sz val="11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b val="true"/>
      <i val="true"/>
      <u val="single"/>
      <sz val="11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i val="true"/>
      <sz val="9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9DC3E6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BFBFBF"/>
        <bgColor rgb="FFD0CECE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4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3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5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5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5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3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3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3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4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4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2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2" borderId="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2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2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3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5" borderId="1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5" borderId="1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1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4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4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4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1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4" borderId="1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1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6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6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6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3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4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4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3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5" borderId="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5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5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6" fillId="6" borderId="1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5" fillId="6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6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3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6" fillId="4" borderId="8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4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4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3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5" fillId="5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5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7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7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7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8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8" borderId="1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8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2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4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9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4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5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5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1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1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13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3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2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13" fillId="0" borderId="2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2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 2" xfId="20" builtinId="53" customBuiltin="true"/>
    <cellStyle name="Normal 2" xfId="21" builtinId="53" customBuiltin="true"/>
    <cellStyle name="Percent 2" xfId="22" builtinId="53" customBuiltin="tru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2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B28" activeCellId="0" sqref="B28"/>
    </sheetView>
  </sheetViews>
  <sheetFormatPr defaultRowHeight="15"/>
  <cols>
    <col collapsed="false" hidden="false" max="1" min="1" style="1" width="4.02834008097166"/>
    <col collapsed="false" hidden="false" max="2" min="2" style="1" width="26.7368421052632"/>
    <col collapsed="false" hidden="false" max="3" min="3" style="1" width="6.68421052631579"/>
    <col collapsed="false" hidden="false" max="4" min="4" style="1" width="6"/>
    <col collapsed="false" hidden="false" max="5" min="5" style="1" width="5.82591093117409"/>
    <col collapsed="false" hidden="false" max="7" min="6" style="1" width="7.45748987854251"/>
    <col collapsed="false" hidden="false" max="1025" min="8" style="1" width="18.5101214574899"/>
  </cols>
  <sheetData>
    <row r="1" customFormat="false" ht="15" hidden="false" customHeight="true" outlineLevel="0" collapsed="false">
      <c r="A1" s="0"/>
      <c r="B1" s="2"/>
      <c r="C1" s="3"/>
      <c r="D1" s="3"/>
      <c r="E1" s="3"/>
      <c r="F1" s="3"/>
      <c r="G1" s="3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0"/>
      <c r="B2" s="2"/>
      <c r="C2" s="3"/>
      <c r="D2" s="3"/>
      <c r="E2" s="3"/>
      <c r="F2" s="3"/>
      <c r="G2" s="3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4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0"/>
      <c r="B4" s="8" t="s">
        <v>6</v>
      </c>
      <c r="C4" s="9" t="n">
        <f aca="false">PL!F5</f>
        <v>50</v>
      </c>
      <c r="D4" s="9" t="n">
        <f aca="false">PL!I5</f>
        <v>180</v>
      </c>
      <c r="E4" s="9" t="n">
        <f aca="false">PL!L5</f>
        <v>550</v>
      </c>
      <c r="F4" s="10" t="n">
        <f aca="false">PL!O5</f>
        <v>1000</v>
      </c>
      <c r="G4" s="11" t="n">
        <f aca="false">F4</f>
        <v>1000</v>
      </c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0"/>
      <c r="B5" s="12" t="s">
        <v>7</v>
      </c>
      <c r="C5" s="13" t="n">
        <f aca="false">C4</f>
        <v>50</v>
      </c>
      <c r="D5" s="13" t="n">
        <f aca="false">D4-C4</f>
        <v>130</v>
      </c>
      <c r="E5" s="13" t="n">
        <f aca="false">E4-D4</f>
        <v>370</v>
      </c>
      <c r="F5" s="14" t="n">
        <f aca="false">F4-E4</f>
        <v>450</v>
      </c>
      <c r="G5" s="15" t="n">
        <f aca="false">SUM(C5:F5)</f>
        <v>1000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true" outlineLevel="0" collapsed="false">
      <c r="A6" s="0"/>
      <c r="B6" s="16" t="s">
        <v>8</v>
      </c>
      <c r="C6" s="17" t="n">
        <f aca="false">AVERAGE(PL!D8:F8)</f>
        <v>0.45</v>
      </c>
      <c r="D6" s="17" t="n">
        <f aca="false">AVERAGE(PL!G8:I8)</f>
        <v>1.9</v>
      </c>
      <c r="E6" s="17" t="n">
        <f aca="false">AVERAGE(PL!J8:L8)</f>
        <v>6.15</v>
      </c>
      <c r="F6" s="18" t="n">
        <f aca="false">AVERAGE(PL!M8:O8)</f>
        <v>12.75</v>
      </c>
      <c r="G6" s="19" t="n">
        <f aca="false">AVERAGE(PL!D8:O8)</f>
        <v>5.3125</v>
      </c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true" customHeight="true" outlineLevel="0" collapsed="false">
      <c r="A7" s="0"/>
      <c r="B7" s="20" t="s">
        <v>9</v>
      </c>
      <c r="C7" s="21"/>
      <c r="D7" s="21"/>
      <c r="E7" s="21"/>
      <c r="F7" s="22"/>
      <c r="G7" s="15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true" customHeight="true" outlineLevel="0" collapsed="false">
      <c r="A8" s="0"/>
      <c r="B8" s="20" t="s">
        <v>10</v>
      </c>
      <c r="C8" s="21"/>
      <c r="D8" s="21"/>
      <c r="E8" s="21"/>
      <c r="F8" s="22"/>
      <c r="G8" s="15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true" customHeight="true" outlineLevel="0" collapsed="false">
      <c r="A9" s="0"/>
      <c r="B9" s="20" t="s">
        <v>11</v>
      </c>
      <c r="C9" s="21"/>
      <c r="D9" s="21"/>
      <c r="E9" s="21"/>
      <c r="F9" s="22"/>
      <c r="G9" s="15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true" customHeight="true" outlineLevel="0" collapsed="false">
      <c r="A10" s="0"/>
      <c r="B10" s="20" t="s">
        <v>12</v>
      </c>
      <c r="C10" s="21"/>
      <c r="D10" s="21"/>
      <c r="E10" s="21"/>
      <c r="F10" s="22"/>
      <c r="G10" s="15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true" customHeight="true" outlineLevel="0" collapsed="false">
      <c r="A11" s="0"/>
      <c r="B11" s="23" t="s">
        <v>13</v>
      </c>
      <c r="C11" s="24"/>
      <c r="D11" s="24"/>
      <c r="E11" s="24"/>
      <c r="F11" s="25"/>
      <c r="G11" s="15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true" customHeight="true" outlineLevel="0" collapsed="false">
      <c r="A12" s="0"/>
      <c r="B12" s="26" t="s">
        <v>14</v>
      </c>
      <c r="C12" s="27"/>
      <c r="D12" s="27"/>
      <c r="E12" s="27"/>
      <c r="F12" s="28"/>
      <c r="G12" s="29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true" customHeight="true" outlineLevel="0" collapsed="false">
      <c r="A13" s="0"/>
      <c r="B13" s="30" t="s">
        <v>15</v>
      </c>
      <c r="C13" s="31" t="n">
        <f aca="false">SUM(C11:C12)</f>
        <v>0</v>
      </c>
      <c r="D13" s="31" t="n">
        <f aca="false">SUM(D11:D12)</f>
        <v>0</v>
      </c>
      <c r="E13" s="31" t="n">
        <f aca="false">SUM(E11:E12)</f>
        <v>0</v>
      </c>
      <c r="F13" s="32" t="n">
        <f aca="false">SUM(F11:F12)</f>
        <v>0</v>
      </c>
      <c r="G13" s="33" t="n">
        <f aca="false">SUM(G11:G12)</f>
        <v>0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true" outlineLevel="0" collapsed="false">
      <c r="A14" s="0"/>
      <c r="B14" s="34" t="s">
        <v>16</v>
      </c>
      <c r="C14" s="35" t="n">
        <f aca="false">AVERAGE(PL!D14:F14)</f>
        <v>0</v>
      </c>
      <c r="D14" s="35" t="n">
        <f aca="false">AVERAGE(PL!G14:I14)</f>
        <v>0</v>
      </c>
      <c r="E14" s="35" t="n">
        <f aca="false">AVERAGE(PL!J14:L14)</f>
        <v>0.1</v>
      </c>
      <c r="F14" s="36" t="n">
        <f aca="false">AVERAGE(PL!M14:O14)</f>
        <v>0.15</v>
      </c>
      <c r="G14" s="37" t="n">
        <f aca="false">AVERAGE(PL!D14:O14)</f>
        <v>0.0625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true" outlineLevel="0" collapsed="false">
      <c r="A15" s="0"/>
      <c r="B15" s="38"/>
      <c r="C15" s="39"/>
      <c r="D15" s="39"/>
      <c r="E15" s="39"/>
      <c r="F15" s="40"/>
      <c r="G15" s="15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true" outlineLevel="0" collapsed="false">
      <c r="A16" s="0"/>
      <c r="B16" s="8" t="s">
        <v>17</v>
      </c>
      <c r="C16" s="9" t="n">
        <f aca="false">SUM(PL!D16:F16)</f>
        <v>1.551</v>
      </c>
      <c r="D16" s="9" t="n">
        <f aca="false">SUM(PL!G16:I16)</f>
        <v>8.049</v>
      </c>
      <c r="E16" s="9" t="n">
        <f aca="false">SUM(PL!J16:L16)</f>
        <v>27.306</v>
      </c>
      <c r="F16" s="10" t="n">
        <f aca="false">SUM(PL!M16:O16)</f>
        <v>56.61</v>
      </c>
      <c r="G16" s="11" t="n">
        <f aca="false">SUM(C16:F16)</f>
        <v>93.516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true" outlineLevel="0" collapsed="false">
      <c r="A17" s="0"/>
      <c r="B17" s="39"/>
      <c r="C17" s="39"/>
      <c r="D17" s="39"/>
      <c r="E17" s="39"/>
      <c r="F17" s="40"/>
      <c r="G17" s="15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true" outlineLevel="0" collapsed="false">
      <c r="A18" s="0"/>
      <c r="B18" s="41" t="s">
        <v>18</v>
      </c>
      <c r="C18" s="42" t="n">
        <f aca="false">SUM(PL!D18:F18)</f>
        <v>0</v>
      </c>
      <c r="D18" s="42" t="n">
        <f aca="false">SUM(PL!G18:I18)</f>
        <v>0</v>
      </c>
      <c r="E18" s="42" t="n">
        <f aca="false">SUM(PL!J18:L18)</f>
        <v>2.7306</v>
      </c>
      <c r="F18" s="43" t="n">
        <f aca="false">SUM(PL!M18:O18)</f>
        <v>8.4915</v>
      </c>
      <c r="G18" s="29" t="n">
        <f aca="false">SUM(C18:F18)</f>
        <v>11.2221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true" outlineLevel="0" collapsed="false">
      <c r="A19" s="0"/>
      <c r="B19" s="44" t="s">
        <v>19</v>
      </c>
      <c r="C19" s="45" t="n">
        <f aca="false">C16-C18</f>
        <v>1.551</v>
      </c>
      <c r="D19" s="45" t="n">
        <f aca="false">D16-D18</f>
        <v>8.049</v>
      </c>
      <c r="E19" s="45" t="n">
        <f aca="false">E16-E18</f>
        <v>24.5754</v>
      </c>
      <c r="F19" s="46" t="n">
        <f aca="false">F16-F18</f>
        <v>48.1185</v>
      </c>
      <c r="G19" s="33" t="n">
        <f aca="false">G16-G18</f>
        <v>82.2939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true" outlineLevel="0" collapsed="false">
      <c r="A20" s="0"/>
      <c r="B20" s="47" t="s">
        <v>20</v>
      </c>
      <c r="C20" s="48" t="n">
        <f aca="false">C19/C16</f>
        <v>1</v>
      </c>
      <c r="D20" s="48" t="n">
        <f aca="false">D19/D16</f>
        <v>1</v>
      </c>
      <c r="E20" s="48" t="n">
        <f aca="false">E19/E16</f>
        <v>0.9</v>
      </c>
      <c r="F20" s="49" t="n">
        <f aca="false">F19/F16</f>
        <v>0.85</v>
      </c>
      <c r="G20" s="50" t="n">
        <f aca="false">G19/G16</f>
        <v>0.879998075195688</v>
      </c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true" outlineLevel="0" collapsed="false">
      <c r="A21" s="0"/>
      <c r="B21" s="51" t="s">
        <v>21</v>
      </c>
      <c r="C21" s="39"/>
      <c r="D21" s="39"/>
      <c r="E21" s="39"/>
      <c r="F21" s="40"/>
      <c r="G21" s="15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true" outlineLevel="0" collapsed="false">
      <c r="A22" s="0"/>
      <c r="B22" s="38" t="s">
        <v>22</v>
      </c>
      <c r="C22" s="42" t="n">
        <f aca="false">SUM(PL!D23:F23)</f>
        <v>0.93</v>
      </c>
      <c r="D22" s="42" t="n">
        <f aca="false">SUM(PL!G23:I23)</f>
        <v>2.97</v>
      </c>
      <c r="E22" s="42" t="n">
        <f aca="false">SUM(PL!J23:L23)</f>
        <v>9.859</v>
      </c>
      <c r="F22" s="43" t="n">
        <f aca="false">SUM(PL!M23:O23)</f>
        <v>11.371</v>
      </c>
      <c r="G22" s="15" t="n">
        <f aca="false">SUM(C22:F22)</f>
        <v>25.13</v>
      </c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true" outlineLevel="0" collapsed="false">
      <c r="A23" s="0"/>
      <c r="B23" s="52" t="s">
        <v>23</v>
      </c>
      <c r="C23" s="53" t="n">
        <f aca="false">SUM(C22:C22)</f>
        <v>0.93</v>
      </c>
      <c r="D23" s="53" t="n">
        <f aca="false">SUM(D22:D22)</f>
        <v>2.97</v>
      </c>
      <c r="E23" s="53" t="n">
        <f aca="false">SUM(E22:E22)</f>
        <v>9.859</v>
      </c>
      <c r="F23" s="54" t="n">
        <f aca="false">SUM(F22:F22)</f>
        <v>11.371</v>
      </c>
      <c r="G23" s="55" t="n">
        <f aca="false">SUM(C23:F23)</f>
        <v>25.13</v>
      </c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56" customFormat="true" ht="15" hidden="false" customHeight="true" outlineLevel="0" collapsed="false">
      <c r="B24" s="57" t="s">
        <v>24</v>
      </c>
      <c r="C24" s="58" t="n">
        <f aca="false">C19-C23</f>
        <v>0.621</v>
      </c>
      <c r="D24" s="58" t="n">
        <f aca="false">D19-D23</f>
        <v>5.079</v>
      </c>
      <c r="E24" s="58" t="n">
        <f aca="false">E19-E23</f>
        <v>14.7164</v>
      </c>
      <c r="F24" s="59" t="n">
        <f aca="false">F19-F23</f>
        <v>36.7475</v>
      </c>
      <c r="G24" s="60" t="n">
        <f aca="false">SUM(C24:F24)</f>
        <v>57.1639</v>
      </c>
    </row>
    <row r="25" customFormat="false" ht="15" hidden="false" customHeight="true" outlineLevel="0" collapsed="false">
      <c r="A25" s="0"/>
      <c r="B25" s="47" t="s">
        <v>20</v>
      </c>
      <c r="C25" s="48" t="n">
        <f aca="false">C24/C16</f>
        <v>0.400386847195358</v>
      </c>
      <c r="D25" s="48" t="n">
        <f aca="false">D24/D16</f>
        <v>0.631010063361908</v>
      </c>
      <c r="E25" s="48" t="n">
        <f aca="false">E24/E16</f>
        <v>0.538943821870651</v>
      </c>
      <c r="F25" s="49" t="n">
        <f aca="false">F24/F16</f>
        <v>0.649134428546193</v>
      </c>
      <c r="G25" s="50" t="n">
        <f aca="false">G24/G16</f>
        <v>0.611274006587108</v>
      </c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true" outlineLevel="0" collapsed="false">
      <c r="A26" s="0"/>
      <c r="B26" s="41" t="s">
        <v>25</v>
      </c>
      <c r="C26" s="39"/>
      <c r="D26" s="39"/>
      <c r="E26" s="39"/>
      <c r="F26" s="40"/>
      <c r="G26" s="15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true" outlineLevel="0" collapsed="false">
      <c r="A27" s="0"/>
      <c r="B27" s="38" t="s">
        <v>26</v>
      </c>
      <c r="C27" s="42" t="n">
        <f aca="false">SUM(PL!D28:F28)</f>
        <v>4</v>
      </c>
      <c r="D27" s="42" t="n">
        <f aca="false">SUM(PL!G28:I28)</f>
        <v>1.5</v>
      </c>
      <c r="E27" s="42" t="n">
        <f aca="false">SUM(PL!J28:L28)</f>
        <v>0</v>
      </c>
      <c r="F27" s="43" t="n">
        <f aca="false">SUM(PL!M28:O28)</f>
        <v>0</v>
      </c>
      <c r="G27" s="15" t="n">
        <f aca="false">SUM(C27:F27)</f>
        <v>5.5</v>
      </c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true" outlineLevel="0" collapsed="false">
      <c r="A28" s="0"/>
      <c r="B28" s="38" t="s">
        <v>27</v>
      </c>
      <c r="C28" s="42" t="n">
        <f aca="false">SUM(PL!D29:F29)</f>
        <v>3.465</v>
      </c>
      <c r="D28" s="42" t="n">
        <f aca="false">SUM(PL!G29:I29)</f>
        <v>3.465</v>
      </c>
      <c r="E28" s="42" t="n">
        <f aca="false">SUM(PL!J29:L29)</f>
        <v>4.5</v>
      </c>
      <c r="F28" s="43" t="n">
        <f aca="false">SUM(PL!M29:O29)</f>
        <v>4.5</v>
      </c>
      <c r="G28" s="15" t="n">
        <f aca="false">SUM(C28:F28)</f>
        <v>15.93</v>
      </c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true" outlineLevel="0" collapsed="false">
      <c r="A29" s="0"/>
      <c r="B29" s="38" t="s">
        <v>28</v>
      </c>
      <c r="C29" s="42" t="n">
        <f aca="false">SUM(PL!D30:F30)</f>
        <v>2.865</v>
      </c>
      <c r="D29" s="42" t="n">
        <f aca="false">SUM(PL!G30:I30)</f>
        <v>5.81</v>
      </c>
      <c r="E29" s="42" t="n">
        <f aca="false">SUM(PL!J30:L30)</f>
        <v>12.075</v>
      </c>
      <c r="F29" s="43" t="n">
        <f aca="false">SUM(PL!M30:O30)</f>
        <v>12.765</v>
      </c>
      <c r="G29" s="15" t="n">
        <f aca="false">SUM(C29:F29)</f>
        <v>33.515</v>
      </c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0"/>
      <c r="B30" s="61" t="s">
        <v>29</v>
      </c>
      <c r="C30" s="42" t="n">
        <f aca="false">SUM(PL!D31:F31)</f>
        <v>0.73</v>
      </c>
      <c r="D30" s="42" t="n">
        <f aca="false">SUM(PL!G31:I31)</f>
        <v>0.78</v>
      </c>
      <c r="E30" s="42" t="n">
        <f aca="false">SUM(PL!J31:L31)</f>
        <v>3.71225</v>
      </c>
      <c r="F30" s="43" t="n">
        <f aca="false">SUM(PL!M31:O31)</f>
        <v>4.42725</v>
      </c>
      <c r="G30" s="29" t="n">
        <f aca="false">SUM(C30:F30)</f>
        <v>9.6495</v>
      </c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0"/>
      <c r="B31" s="62" t="s">
        <v>30</v>
      </c>
      <c r="C31" s="63" t="n">
        <f aca="false">SUM(C27:C30)</f>
        <v>11.06</v>
      </c>
      <c r="D31" s="63" t="n">
        <f aca="false">SUM(D27:D30)</f>
        <v>11.555</v>
      </c>
      <c r="E31" s="63" t="n">
        <f aca="false">SUM(E27:E30)</f>
        <v>20.28725</v>
      </c>
      <c r="F31" s="64" t="n">
        <f aca="false">SUM(F27:F30)</f>
        <v>21.69225</v>
      </c>
      <c r="G31" s="33" t="n">
        <f aca="false">SUM(C31:F31)</f>
        <v>64.5945</v>
      </c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65" customFormat="true" ht="15" hidden="true" customHeight="true" outlineLevel="0" collapsed="false">
      <c r="B32" s="66" t="s">
        <v>31</v>
      </c>
      <c r="C32" s="67" t="n">
        <f aca="false">C24-C31</f>
        <v>-10.439</v>
      </c>
      <c r="D32" s="67" t="n">
        <f aca="false">D24-D31</f>
        <v>-6.476</v>
      </c>
      <c r="E32" s="67" t="n">
        <f aca="false">E24-E31</f>
        <v>-5.57085</v>
      </c>
      <c r="F32" s="68" t="n">
        <f aca="false">F24-F31</f>
        <v>15.05525</v>
      </c>
      <c r="G32" s="69" t="n">
        <f aca="false">SUM(C32:F32)</f>
        <v>-7.43060000000001</v>
      </c>
    </row>
    <row r="33" customFormat="false" ht="15" hidden="true" customHeight="true" outlineLevel="0" collapsed="false">
      <c r="A33" s="0"/>
      <c r="B33" s="70" t="s">
        <v>20</v>
      </c>
      <c r="C33" s="71" t="n">
        <f aca="false">C32/C16</f>
        <v>-6.73049645390071</v>
      </c>
      <c r="D33" s="71" t="n">
        <f aca="false">D32/D16</f>
        <v>-0.804571996521307</v>
      </c>
      <c r="E33" s="71" t="n">
        <f aca="false">E32/E16</f>
        <v>-0.20401560096682</v>
      </c>
      <c r="F33" s="72" t="n">
        <f aca="false">F32/F16</f>
        <v>0.265946829182123</v>
      </c>
      <c r="G33" s="73" t="n">
        <f aca="false">G32/G16</f>
        <v>-0.0794580606527226</v>
      </c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74" customFormat="true" ht="15" hidden="false" customHeight="true" outlineLevel="0" collapsed="false">
      <c r="B34" s="75" t="s">
        <v>32</v>
      </c>
      <c r="C34" s="76" t="n">
        <f aca="false">C32</f>
        <v>-10.439</v>
      </c>
      <c r="D34" s="76" t="n">
        <f aca="false">D32</f>
        <v>-6.476</v>
      </c>
      <c r="E34" s="76" t="n">
        <f aca="false">E32</f>
        <v>-5.57085</v>
      </c>
      <c r="F34" s="76" t="n">
        <f aca="false">F32</f>
        <v>15.05525</v>
      </c>
      <c r="G34" s="77" t="n">
        <f aca="false">SUM(C34:F34)</f>
        <v>-7.43060000000001</v>
      </c>
    </row>
    <row r="35" s="56" customFormat="true" ht="15" hidden="false" customHeight="true" outlineLevel="0" collapsed="false">
      <c r="B35" s="78" t="s">
        <v>20</v>
      </c>
      <c r="C35" s="79" t="n">
        <f aca="false">C34/C16</f>
        <v>-6.73049645390071</v>
      </c>
      <c r="D35" s="79" t="n">
        <f aca="false">D34/D16</f>
        <v>-0.804571996521307</v>
      </c>
      <c r="E35" s="79" t="n">
        <f aca="false">E34/E16</f>
        <v>-0.20401560096682</v>
      </c>
      <c r="F35" s="80" t="n">
        <f aca="false">F34/F16</f>
        <v>0.265946829182123</v>
      </c>
      <c r="G35" s="81" t="n">
        <f aca="false">G34/G16</f>
        <v>-0.0794580606527226</v>
      </c>
    </row>
    <row r="36" s="82" customFormat="true" ht="15" hidden="false" customHeight="true" outlineLevel="0" collapsed="false">
      <c r="B36" s="83"/>
      <c r="C36" s="84"/>
      <c r="D36" s="84"/>
      <c r="E36" s="84"/>
      <c r="F36" s="84"/>
      <c r="G36" s="84"/>
    </row>
    <row r="37" customFormat="false" ht="15" hidden="false" customHeight="true" outlineLevel="0" collapsed="false">
      <c r="B37" s="4" t="s">
        <v>0</v>
      </c>
      <c r="C37" s="5" t="s">
        <v>1</v>
      </c>
      <c r="D37" s="5" t="s">
        <v>2</v>
      </c>
      <c r="E37" s="5" t="s">
        <v>3</v>
      </c>
      <c r="F37" s="6" t="s">
        <v>4</v>
      </c>
      <c r="G37" s="7" t="s">
        <v>5</v>
      </c>
    </row>
    <row r="38" customFormat="false" ht="15" hidden="false" customHeight="true" outlineLevel="0" collapsed="false">
      <c r="B38" s="85" t="s">
        <v>33</v>
      </c>
      <c r="C38" s="86" t="n">
        <f aca="false">SUM(Capex!C7:E7)</f>
        <v>0.2</v>
      </c>
      <c r="D38" s="86" t="n">
        <f aca="false">SUM(Capex!F7:H7)</f>
        <v>0</v>
      </c>
      <c r="E38" s="86" t="n">
        <f aca="false">SUM(Capex!I7:K7)</f>
        <v>0.5</v>
      </c>
      <c r="F38" s="87" t="n">
        <f aca="false">SUM(Capex!L7:N7)</f>
        <v>0</v>
      </c>
      <c r="G38" s="88" t="n">
        <f aca="false">SUM(C38:F38)</f>
        <v>0.7</v>
      </c>
    </row>
    <row r="39" customFormat="false" ht="15" hidden="false" customHeight="true" outlineLevel="0" collapsed="false">
      <c r="B39" s="89" t="s">
        <v>34</v>
      </c>
      <c r="C39" s="90" t="n">
        <f aca="false">C34-C38</f>
        <v>-10.639</v>
      </c>
      <c r="D39" s="90" t="n">
        <f aca="false">D34-D38</f>
        <v>-6.476</v>
      </c>
      <c r="E39" s="90" t="n">
        <f aca="false">E34-E38</f>
        <v>-6.07085</v>
      </c>
      <c r="F39" s="91" t="n">
        <f aca="false">F34-F38</f>
        <v>15.05525</v>
      </c>
      <c r="G39" s="92" t="n">
        <f aca="false">G34-G38</f>
        <v>-8.13060000000001</v>
      </c>
    </row>
    <row r="40" customFormat="false" ht="15" hidden="false" customHeight="true" outlineLevel="0" collapsed="false">
      <c r="B40" s="93" t="s">
        <v>35</v>
      </c>
      <c r="C40" s="94" t="n">
        <v>0</v>
      </c>
      <c r="D40" s="95" t="n">
        <f aca="false">C41</f>
        <v>-10.639</v>
      </c>
      <c r="E40" s="95" t="n">
        <f aca="false">D41</f>
        <v>-17.115</v>
      </c>
      <c r="F40" s="95" t="n">
        <f aca="false">E41</f>
        <v>-23.18585</v>
      </c>
      <c r="G40" s="96" t="n">
        <f aca="false">C40</f>
        <v>0</v>
      </c>
    </row>
    <row r="41" customFormat="false" ht="15" hidden="false" customHeight="true" outlineLevel="0" collapsed="false">
      <c r="B41" s="85" t="s">
        <v>36</v>
      </c>
      <c r="C41" s="97" t="n">
        <f aca="false">C40+C39</f>
        <v>-10.639</v>
      </c>
      <c r="D41" s="97" t="n">
        <f aca="false">D40+D39</f>
        <v>-17.115</v>
      </c>
      <c r="E41" s="97" t="n">
        <f aca="false">E40+E39</f>
        <v>-23.18585</v>
      </c>
      <c r="F41" s="97" t="n">
        <f aca="false">F40+F39</f>
        <v>-8.13060000000001</v>
      </c>
      <c r="G41" s="98" t="n">
        <f aca="false">G40+G39</f>
        <v>-8.13060000000001</v>
      </c>
    </row>
    <row r="42" customFormat="false" ht="15" hidden="false" customHeight="true" outlineLevel="0" collapsed="false">
      <c r="B42" s="99" t="s">
        <v>37</v>
      </c>
      <c r="C42" s="100" t="n">
        <f aca="false">MIN(C40:G41)</f>
        <v>-23.18585</v>
      </c>
      <c r="D42" s="101"/>
      <c r="E42" s="101"/>
      <c r="G42" s="101"/>
    </row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Q20" activeCellId="0" sqref="Q20"/>
    </sheetView>
  </sheetViews>
  <sheetFormatPr defaultRowHeight="15"/>
  <cols>
    <col collapsed="false" hidden="false" max="1" min="1" style="1" width="4.02834008097166"/>
    <col collapsed="false" hidden="false" max="2" min="2" style="1" width="31.3643724696356"/>
    <col collapsed="false" hidden="false" max="3" min="3" style="1" width="6"/>
    <col collapsed="false" hidden="false" max="4" min="4" style="1" width="8.39676113360324"/>
    <col collapsed="false" hidden="false" max="16" min="5" style="1" width="7.97165991902834"/>
    <col collapsed="false" hidden="false" max="1025" min="17" style="1" width="18.5101214574899"/>
  </cols>
  <sheetData>
    <row r="1" customFormat="fals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75" hidden="false" customHeight="true" outlineLevel="0" collapsed="false">
      <c r="A2" s="0"/>
      <c r="B2" s="2"/>
      <c r="C2" s="2"/>
      <c r="D2" s="102" t="s">
        <v>38</v>
      </c>
      <c r="E2" s="102"/>
      <c r="F2" s="102"/>
      <c r="G2" s="102"/>
      <c r="H2" s="102"/>
      <c r="I2" s="102"/>
      <c r="J2" s="102" t="s">
        <v>39</v>
      </c>
      <c r="K2" s="102"/>
      <c r="L2" s="102"/>
      <c r="M2" s="102"/>
      <c r="N2" s="102"/>
      <c r="O2" s="102"/>
      <c r="P2" s="2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true" outlineLevel="0" collapsed="false">
      <c r="A3" s="0"/>
      <c r="B3" s="2"/>
      <c r="C3" s="2"/>
      <c r="D3" s="103" t="s">
        <v>40</v>
      </c>
      <c r="E3" s="103"/>
      <c r="F3" s="103"/>
      <c r="G3" s="104" t="s">
        <v>41</v>
      </c>
      <c r="H3" s="104"/>
      <c r="I3" s="104"/>
      <c r="J3" s="105" t="s">
        <v>42</v>
      </c>
      <c r="K3" s="105"/>
      <c r="L3" s="106" t="s">
        <v>43</v>
      </c>
      <c r="M3" s="106"/>
      <c r="N3" s="107" t="s">
        <v>44</v>
      </c>
      <c r="O3" s="107"/>
      <c r="P3" s="3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true" outlineLevel="0" collapsed="false">
      <c r="A4" s="0"/>
      <c r="B4" s="4" t="s">
        <v>0</v>
      </c>
      <c r="C4" s="4"/>
      <c r="D4" s="108" t="s">
        <v>45</v>
      </c>
      <c r="E4" s="108" t="s">
        <v>46</v>
      </c>
      <c r="F4" s="108" t="s">
        <v>47</v>
      </c>
      <c r="G4" s="108" t="s">
        <v>48</v>
      </c>
      <c r="H4" s="108" t="s">
        <v>49</v>
      </c>
      <c r="I4" s="108" t="s">
        <v>50</v>
      </c>
      <c r="J4" s="108" t="s">
        <v>51</v>
      </c>
      <c r="K4" s="108" t="s">
        <v>52</v>
      </c>
      <c r="L4" s="108" t="s">
        <v>53</v>
      </c>
      <c r="M4" s="108" t="s">
        <v>54</v>
      </c>
      <c r="N4" s="108" t="s">
        <v>55</v>
      </c>
      <c r="O4" s="108" t="s">
        <v>56</v>
      </c>
      <c r="P4" s="109" t="s">
        <v>57</v>
      </c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0"/>
      <c r="B5" s="8" t="s">
        <v>58</v>
      </c>
      <c r="C5" s="8"/>
      <c r="D5" s="9" t="n">
        <v>10</v>
      </c>
      <c r="E5" s="9" t="n">
        <v>30</v>
      </c>
      <c r="F5" s="9" t="n">
        <v>50</v>
      </c>
      <c r="G5" s="9" t="n">
        <v>80</v>
      </c>
      <c r="H5" s="9" t="n">
        <v>120</v>
      </c>
      <c r="I5" s="9" t="n">
        <v>180</v>
      </c>
      <c r="J5" s="9" t="n">
        <v>280</v>
      </c>
      <c r="K5" s="9" t="n">
        <v>400</v>
      </c>
      <c r="L5" s="9" t="n">
        <v>550</v>
      </c>
      <c r="M5" s="9" t="n">
        <v>700</v>
      </c>
      <c r="N5" s="9" t="n">
        <v>850</v>
      </c>
      <c r="O5" s="9" t="n">
        <v>1000</v>
      </c>
      <c r="P5" s="9" t="n">
        <v>1250</v>
      </c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true" outlineLevel="0" collapsed="false">
      <c r="A6" s="0"/>
      <c r="B6" s="12" t="s">
        <v>59</v>
      </c>
      <c r="C6" s="12"/>
      <c r="D6" s="13" t="n">
        <v>0</v>
      </c>
      <c r="E6" s="13" t="n">
        <f aca="false">E5-D5</f>
        <v>20</v>
      </c>
      <c r="F6" s="13" t="n">
        <f aca="false">F5-E5</f>
        <v>20</v>
      </c>
      <c r="G6" s="13" t="n">
        <f aca="false">G5-F5</f>
        <v>30</v>
      </c>
      <c r="H6" s="13" t="n">
        <f aca="false">H5-G5</f>
        <v>40</v>
      </c>
      <c r="I6" s="13" t="n">
        <f aca="false">I5-H5</f>
        <v>60</v>
      </c>
      <c r="J6" s="13" t="n">
        <f aca="false">J5-I5</f>
        <v>100</v>
      </c>
      <c r="K6" s="13" t="n">
        <f aca="false">K5-J5</f>
        <v>120</v>
      </c>
      <c r="L6" s="13" t="n">
        <f aca="false">L5-K5</f>
        <v>150</v>
      </c>
      <c r="M6" s="13" t="n">
        <f aca="false">M5-L5</f>
        <v>150</v>
      </c>
      <c r="N6" s="13" t="n">
        <f aca="false">N5-M5</f>
        <v>150</v>
      </c>
      <c r="O6" s="13" t="n">
        <f aca="false">O5-N5</f>
        <v>150</v>
      </c>
      <c r="P6" s="13" t="n">
        <f aca="false">P5-O5</f>
        <v>250</v>
      </c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0"/>
      <c r="B7" s="12" t="s">
        <v>60</v>
      </c>
      <c r="C7" s="12"/>
      <c r="D7" s="110" t="n">
        <v>0.5</v>
      </c>
      <c r="E7" s="111" t="n">
        <f aca="false">D7*1.5</f>
        <v>0.75</v>
      </c>
      <c r="F7" s="111" t="n">
        <f aca="false">E7*1.5</f>
        <v>1.125</v>
      </c>
      <c r="G7" s="111" t="n">
        <f aca="false">F7*1.5</f>
        <v>1.6875</v>
      </c>
      <c r="H7" s="111" t="n">
        <f aca="false">G7*1.5</f>
        <v>2.53125</v>
      </c>
      <c r="I7" s="111" t="n">
        <v>3</v>
      </c>
      <c r="J7" s="111" t="n">
        <f aca="false">I7</f>
        <v>3</v>
      </c>
      <c r="K7" s="111" t="n">
        <f aca="false">J7</f>
        <v>3</v>
      </c>
      <c r="L7" s="111" t="n">
        <f aca="false">K7</f>
        <v>3</v>
      </c>
      <c r="M7" s="111" t="n">
        <f aca="false">L7</f>
        <v>3</v>
      </c>
      <c r="N7" s="111" t="n">
        <f aca="false">M7</f>
        <v>3</v>
      </c>
      <c r="O7" s="111" t="n">
        <f aca="false">N7</f>
        <v>3</v>
      </c>
      <c r="P7" s="111" t="n">
        <f aca="false">O7</f>
        <v>3</v>
      </c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true" outlineLevel="0" collapsed="false">
      <c r="A8" s="0"/>
      <c r="B8" s="16" t="s">
        <v>61</v>
      </c>
      <c r="C8" s="16" t="n">
        <v>1500</v>
      </c>
      <c r="D8" s="112" t="n">
        <f aca="false">D5*$C$8*10^-5</f>
        <v>0.15</v>
      </c>
      <c r="E8" s="112" t="n">
        <f aca="false">E5*$C$8*10^-5</f>
        <v>0.45</v>
      </c>
      <c r="F8" s="112" t="n">
        <f aca="false">F5*$C$8*10^-5</f>
        <v>0.75</v>
      </c>
      <c r="G8" s="112" t="n">
        <f aca="false">G5*$C$8*10^-5</f>
        <v>1.2</v>
      </c>
      <c r="H8" s="112" t="n">
        <f aca="false">H5*$C$8*10^-5</f>
        <v>1.8</v>
      </c>
      <c r="I8" s="112" t="n">
        <f aca="false">I5*$C$8*10^-5</f>
        <v>2.7</v>
      </c>
      <c r="J8" s="112" t="n">
        <f aca="false">J5*$C$8*10^-5</f>
        <v>4.2</v>
      </c>
      <c r="K8" s="112" t="n">
        <f aca="false">K5*$C$8*10^-5</f>
        <v>6</v>
      </c>
      <c r="L8" s="112" t="n">
        <f aca="false">L5*$C$8*10^-5</f>
        <v>8.25</v>
      </c>
      <c r="M8" s="112" t="n">
        <f aca="false">M5*$C$8*10^-5</f>
        <v>10.5</v>
      </c>
      <c r="N8" s="112" t="n">
        <f aca="false">N5*$C$8*10^-5</f>
        <v>12.75</v>
      </c>
      <c r="O8" s="112" t="n">
        <f aca="false">O5*$C$8*10^-5</f>
        <v>15</v>
      </c>
      <c r="P8" s="112" t="n">
        <f aca="false">P5*$C$8*10^-5</f>
        <v>18.75</v>
      </c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true" outlineLevel="0" collapsed="false">
      <c r="A9" s="0"/>
      <c r="B9" s="16" t="s">
        <v>62</v>
      </c>
      <c r="C9" s="16" t="n">
        <v>2400</v>
      </c>
      <c r="D9" s="113" t="n">
        <f aca="false">D7*$C$9*D5/10*10^-5</f>
        <v>0.012</v>
      </c>
      <c r="E9" s="113" t="n">
        <f aca="false">E7*$C$9*E5/10*10^-5</f>
        <v>0.054</v>
      </c>
      <c r="F9" s="113" t="n">
        <f aca="false">F7*$C$9*F5/10*10^-5</f>
        <v>0.135</v>
      </c>
      <c r="G9" s="113" t="n">
        <f aca="false">G7*$C$9*G5/10*10^-5</f>
        <v>0.324</v>
      </c>
      <c r="H9" s="113" t="n">
        <f aca="false">H7*$C$9*H5/10*10^-5</f>
        <v>0.729</v>
      </c>
      <c r="I9" s="113" t="n">
        <f aca="false">I7*$C$9*I5/10*10^-5</f>
        <v>1.296</v>
      </c>
      <c r="J9" s="113" t="n">
        <f aca="false">J7*$C$9*J5/10*10^-5</f>
        <v>2.016</v>
      </c>
      <c r="K9" s="113" t="n">
        <f aca="false">K7*$C$9*K5/10*10^-5</f>
        <v>2.88</v>
      </c>
      <c r="L9" s="113" t="n">
        <f aca="false">L7*$C$9*L5/10*10^-5</f>
        <v>3.96</v>
      </c>
      <c r="M9" s="113" t="n">
        <f aca="false">M7*$C$9*M5/10*10^-5</f>
        <v>5.04</v>
      </c>
      <c r="N9" s="113" t="n">
        <f aca="false">N7*$C$9*N5/10*10^-5</f>
        <v>6.12</v>
      </c>
      <c r="O9" s="113" t="n">
        <f aca="false">O7*$C$9*O5/10*10^-5</f>
        <v>7.2</v>
      </c>
      <c r="P9" s="113" t="n">
        <f aca="false">P7*$C$9*P5/10*10^-5</f>
        <v>9</v>
      </c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0"/>
      <c r="B10" s="114" t="s">
        <v>63</v>
      </c>
      <c r="C10" s="114"/>
      <c r="D10" s="115" t="n">
        <f aca="false">(D8+D9)/D5*10^5</f>
        <v>1620</v>
      </c>
      <c r="E10" s="115" t="n">
        <f aca="false">(E8+E9)/E5*10^5</f>
        <v>1680</v>
      </c>
      <c r="F10" s="115" t="n">
        <f aca="false">(F8+F9)/F5*10^5</f>
        <v>1770</v>
      </c>
      <c r="G10" s="116" t="n">
        <f aca="false">(G8+G9)/G5*10^5</f>
        <v>1905</v>
      </c>
      <c r="H10" s="115" t="n">
        <f aca="false">(H8+H9)/H5*10^5</f>
        <v>2107.5</v>
      </c>
      <c r="I10" s="115" t="n">
        <f aca="false">(I8+I9)/I5*10^5</f>
        <v>2220</v>
      </c>
      <c r="J10" s="115" t="n">
        <f aca="false">(J8+J9)/J5*10^5</f>
        <v>2220</v>
      </c>
      <c r="K10" s="115" t="n">
        <f aca="false">(K8+K9)/K5*10^5</f>
        <v>2220</v>
      </c>
      <c r="L10" s="115" t="n">
        <f aca="false">(L8+L9)/L5*10^5</f>
        <v>2220</v>
      </c>
      <c r="M10" s="115" t="n">
        <f aca="false">(M8+M9)/M5*10^5</f>
        <v>2220</v>
      </c>
      <c r="N10" s="115" t="n">
        <f aca="false">(N8+N9)/N5*10^5</f>
        <v>2220</v>
      </c>
      <c r="O10" s="115" t="n">
        <f aca="false">(O8+O9)/O5*10^5</f>
        <v>2220</v>
      </c>
      <c r="P10" s="115" t="n">
        <f aca="false">(P8+P9)/P5*10^5</f>
        <v>2220</v>
      </c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true" outlineLevel="0" collapsed="false">
      <c r="A11" s="0"/>
      <c r="B11" s="23" t="s">
        <v>13</v>
      </c>
      <c r="C11" s="23"/>
      <c r="D11" s="117" t="n">
        <f aca="false">D8/(D8+D9)</f>
        <v>0.925925925925926</v>
      </c>
      <c r="E11" s="117" t="n">
        <f aca="false">E8/(E8+E9)</f>
        <v>0.892857142857143</v>
      </c>
      <c r="F11" s="117" t="n">
        <f aca="false">F8/(F8+F9)</f>
        <v>0.847457627118644</v>
      </c>
      <c r="G11" s="117" t="n">
        <f aca="false">G8/(G8+G9)</f>
        <v>0.78740157480315</v>
      </c>
      <c r="H11" s="117" t="n">
        <f aca="false">H8/(H8+H9)</f>
        <v>0.711743772241993</v>
      </c>
      <c r="I11" s="117" t="n">
        <f aca="false">I8/(I8+I9)</f>
        <v>0.675675675675676</v>
      </c>
      <c r="J11" s="117" t="n">
        <f aca="false">J8/(J8+J9)</f>
        <v>0.675675675675676</v>
      </c>
      <c r="K11" s="117" t="n">
        <f aca="false">K8/(K8+K9)</f>
        <v>0.675675675675676</v>
      </c>
      <c r="L11" s="117" t="n">
        <f aca="false">L8/(L8+L9)</f>
        <v>0.675675675675676</v>
      </c>
      <c r="M11" s="117" t="n">
        <f aca="false">M8/(M8+M9)</f>
        <v>0.675675675675676</v>
      </c>
      <c r="N11" s="117" t="n">
        <f aca="false">N8/(N8+N9)</f>
        <v>0.675675675675676</v>
      </c>
      <c r="O11" s="117" t="n">
        <f aca="false">O8/(O8+O9)</f>
        <v>0.675675675675676</v>
      </c>
      <c r="P11" s="117" t="n">
        <f aca="false">P8/(P8+P9)</f>
        <v>0.675675675675676</v>
      </c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0"/>
      <c r="B12" s="26" t="s">
        <v>64</v>
      </c>
      <c r="C12" s="26"/>
      <c r="D12" s="117" t="n">
        <f aca="false">D9/(D8+D9)</f>
        <v>0.0740740740740741</v>
      </c>
      <c r="E12" s="117" t="n">
        <f aca="false">E9/(E8+E9)</f>
        <v>0.107142857142857</v>
      </c>
      <c r="F12" s="117" t="n">
        <f aca="false">F9/(F8+F9)</f>
        <v>0.152542372881356</v>
      </c>
      <c r="G12" s="117" t="n">
        <f aca="false">G9/(G8+G9)</f>
        <v>0.21259842519685</v>
      </c>
      <c r="H12" s="117" t="n">
        <f aca="false">H9/(H8+H9)</f>
        <v>0.288256227758007</v>
      </c>
      <c r="I12" s="117" t="n">
        <f aca="false">I9/(I8+I9)</f>
        <v>0.324324324324324</v>
      </c>
      <c r="J12" s="117" t="n">
        <f aca="false">J9/(J8+J9)</f>
        <v>0.324324324324324</v>
      </c>
      <c r="K12" s="117" t="n">
        <f aca="false">K9/(K8+K9)</f>
        <v>0.324324324324324</v>
      </c>
      <c r="L12" s="117" t="n">
        <f aca="false">L9/(L8+L9)</f>
        <v>0.324324324324324</v>
      </c>
      <c r="M12" s="117" t="n">
        <f aca="false">M9/(M8+M9)</f>
        <v>0.324324324324324</v>
      </c>
      <c r="N12" s="117" t="n">
        <f aca="false">N9/(N8+N9)</f>
        <v>0.324324324324324</v>
      </c>
      <c r="O12" s="117" t="n">
        <f aca="false">O9/(O8+O9)</f>
        <v>0.324324324324324</v>
      </c>
      <c r="P12" s="117" t="n">
        <f aca="false">P9/(P8+P9)</f>
        <v>0.324324324324324</v>
      </c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true" outlineLevel="0" collapsed="false">
      <c r="A13" s="0"/>
      <c r="B13" s="30" t="s">
        <v>15</v>
      </c>
      <c r="C13" s="30"/>
      <c r="D13" s="118" t="n">
        <f aca="false">SUM(D11:D12)</f>
        <v>1</v>
      </c>
      <c r="E13" s="119" t="n">
        <f aca="false">SUM(E11:E12)</f>
        <v>1</v>
      </c>
      <c r="F13" s="119" t="n">
        <f aca="false">SUM(F11:F12)</f>
        <v>1</v>
      </c>
      <c r="G13" s="119" t="n">
        <f aca="false">SUM(G11:G12)</f>
        <v>1</v>
      </c>
      <c r="H13" s="119" t="n">
        <f aca="false">SUM(H11:H12)</f>
        <v>1</v>
      </c>
      <c r="I13" s="119" t="n">
        <f aca="false">SUM(I11:I12)</f>
        <v>1</v>
      </c>
      <c r="J13" s="119" t="n">
        <f aca="false">SUM(J11:J12)</f>
        <v>1</v>
      </c>
      <c r="K13" s="119" t="n">
        <f aca="false">SUM(K11:K12)</f>
        <v>1</v>
      </c>
      <c r="L13" s="119" t="n">
        <f aca="false">SUM(L11:L12)</f>
        <v>1</v>
      </c>
      <c r="M13" s="119" t="n">
        <f aca="false">SUM(M11:M12)</f>
        <v>1</v>
      </c>
      <c r="N13" s="119" t="n">
        <f aca="false">SUM(N11:N12)</f>
        <v>1</v>
      </c>
      <c r="O13" s="119" t="n">
        <f aca="false">SUM(O11:O12)</f>
        <v>1</v>
      </c>
      <c r="P13" s="119" t="n">
        <f aca="false">SUM(P11:P12)</f>
        <v>1</v>
      </c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true" outlineLevel="0" collapsed="false">
      <c r="A14" s="0"/>
      <c r="B14" s="34" t="s">
        <v>65</v>
      </c>
      <c r="C14" s="34"/>
      <c r="D14" s="35" t="n">
        <v>0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35" t="n">
        <v>0.1</v>
      </c>
      <c r="K14" s="35" t="n">
        <v>0.1</v>
      </c>
      <c r="L14" s="35" t="n">
        <v>0.1</v>
      </c>
      <c r="M14" s="35" t="n">
        <v>0.15</v>
      </c>
      <c r="N14" s="35" t="n">
        <v>0.15</v>
      </c>
      <c r="O14" s="35" t="n">
        <v>0.15</v>
      </c>
      <c r="P14" s="35" t="n">
        <v>0.2</v>
      </c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0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0"/>
      <c r="B16" s="8" t="s">
        <v>66</v>
      </c>
      <c r="C16" s="8"/>
      <c r="D16" s="9" t="n">
        <f aca="false">D8+D9</f>
        <v>0.162</v>
      </c>
      <c r="E16" s="9" t="n">
        <f aca="false">E8+E9</f>
        <v>0.504</v>
      </c>
      <c r="F16" s="9" t="n">
        <f aca="false">F8+F9</f>
        <v>0.885</v>
      </c>
      <c r="G16" s="9" t="n">
        <f aca="false">G8+G9</f>
        <v>1.524</v>
      </c>
      <c r="H16" s="9" t="n">
        <f aca="false">H8+H9</f>
        <v>2.529</v>
      </c>
      <c r="I16" s="9" t="n">
        <f aca="false">I8+I9</f>
        <v>3.996</v>
      </c>
      <c r="J16" s="9" t="n">
        <f aca="false">J8+J9</f>
        <v>6.216</v>
      </c>
      <c r="K16" s="9" t="n">
        <f aca="false">K8+K9</f>
        <v>8.88</v>
      </c>
      <c r="L16" s="9" t="n">
        <f aca="false">L8+L9</f>
        <v>12.21</v>
      </c>
      <c r="M16" s="9" t="n">
        <f aca="false">M8+M9</f>
        <v>15.54</v>
      </c>
      <c r="N16" s="9" t="n">
        <f aca="false">N8+N9</f>
        <v>18.87</v>
      </c>
      <c r="O16" s="9" t="n">
        <f aca="false">O8+O9</f>
        <v>22.2</v>
      </c>
      <c r="P16" s="9" t="n">
        <f aca="false">P8+P9</f>
        <v>27.75</v>
      </c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false" outlineLevel="0" collapsed="false">
      <c r="A17" s="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0"/>
      <c r="B18" s="41" t="s">
        <v>65</v>
      </c>
      <c r="C18" s="120"/>
      <c r="D18" s="42" t="n">
        <f aca="false">D5*D8*D14*10^-5</f>
        <v>0</v>
      </c>
      <c r="E18" s="42" t="n">
        <f aca="false">E5*E8*E14*10^-5</f>
        <v>0</v>
      </c>
      <c r="F18" s="42" t="n">
        <f aca="false">F5*F8*F14*10^-5</f>
        <v>0</v>
      </c>
      <c r="G18" s="42" t="n">
        <f aca="false">G5*G8*G14*10^-5</f>
        <v>0</v>
      </c>
      <c r="H18" s="42" t="n">
        <f aca="false">H5*H8*H14*10^-5</f>
        <v>0</v>
      </c>
      <c r="I18" s="42" t="n">
        <f aca="false">I5*I8*I14*10^-5</f>
        <v>0</v>
      </c>
      <c r="J18" s="42" t="n">
        <f aca="false">(J8+J9)*J14</f>
        <v>0.6216</v>
      </c>
      <c r="K18" s="42" t="n">
        <f aca="false">(K8+K9)*K14</f>
        <v>0.888</v>
      </c>
      <c r="L18" s="42" t="n">
        <f aca="false">(L8+L9)*L14</f>
        <v>1.221</v>
      </c>
      <c r="M18" s="42" t="n">
        <f aca="false">(M8+M9)*M14</f>
        <v>2.331</v>
      </c>
      <c r="N18" s="42" t="n">
        <f aca="false">(N8+N9)*N14</f>
        <v>2.8305</v>
      </c>
      <c r="O18" s="42" t="n">
        <f aca="false">(O8+O9)*O14</f>
        <v>3.33</v>
      </c>
      <c r="P18" s="42" t="n">
        <f aca="false">(P8+P9)*P14</f>
        <v>5.55</v>
      </c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75" hidden="false" customHeight="false" outlineLevel="0" collapsed="false">
      <c r="A19" s="0"/>
      <c r="B19" s="44" t="s">
        <v>19</v>
      </c>
      <c r="C19" s="44"/>
      <c r="D19" s="45" t="n">
        <f aca="false">D16-D18</f>
        <v>0.162</v>
      </c>
      <c r="E19" s="45" t="n">
        <f aca="false">E16-E18</f>
        <v>0.504</v>
      </c>
      <c r="F19" s="45" t="n">
        <f aca="false">F16-F18</f>
        <v>0.885</v>
      </c>
      <c r="G19" s="45" t="n">
        <f aca="false">G16-G18</f>
        <v>1.524</v>
      </c>
      <c r="H19" s="45" t="n">
        <f aca="false">H16-H18</f>
        <v>2.529</v>
      </c>
      <c r="I19" s="45" t="n">
        <f aca="false">I16-I18</f>
        <v>3.996</v>
      </c>
      <c r="J19" s="45" t="n">
        <f aca="false">J16-J18</f>
        <v>5.5944</v>
      </c>
      <c r="K19" s="45" t="n">
        <f aca="false">K16-K18</f>
        <v>7.992</v>
      </c>
      <c r="L19" s="45" t="n">
        <f aca="false">L16-L18</f>
        <v>10.989</v>
      </c>
      <c r="M19" s="45" t="n">
        <f aca="false">M16-M18</f>
        <v>13.209</v>
      </c>
      <c r="N19" s="45" t="n">
        <f aca="false">N16-N18</f>
        <v>16.0395</v>
      </c>
      <c r="O19" s="45" t="n">
        <f aca="false">O16-O18</f>
        <v>18.87</v>
      </c>
      <c r="P19" s="45" t="n">
        <f aca="false">P16-P18</f>
        <v>22.2</v>
      </c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0"/>
      <c r="B20" s="47" t="s">
        <v>20</v>
      </c>
      <c r="C20" s="47"/>
      <c r="D20" s="48" t="n">
        <f aca="false">D19/D16</f>
        <v>1</v>
      </c>
      <c r="E20" s="48" t="n">
        <f aca="false">E19/E16</f>
        <v>1</v>
      </c>
      <c r="F20" s="48" t="n">
        <f aca="false">F19/F16</f>
        <v>1</v>
      </c>
      <c r="G20" s="48" t="n">
        <f aca="false">G19/G16</f>
        <v>1</v>
      </c>
      <c r="H20" s="48" t="n">
        <f aca="false">H19/H16</f>
        <v>1</v>
      </c>
      <c r="I20" s="48" t="n">
        <f aca="false">I19/I16</f>
        <v>1</v>
      </c>
      <c r="J20" s="48" t="n">
        <f aca="false">J19/J16</f>
        <v>0.9</v>
      </c>
      <c r="K20" s="48" t="n">
        <f aca="false">K19/K16</f>
        <v>0.9</v>
      </c>
      <c r="L20" s="48" t="n">
        <f aca="false">L19/L16</f>
        <v>0.9</v>
      </c>
      <c r="M20" s="48" t="n">
        <f aca="false">M19/M16</f>
        <v>0.85</v>
      </c>
      <c r="N20" s="48" t="n">
        <f aca="false">N19/N16</f>
        <v>0.85</v>
      </c>
      <c r="O20" s="48" t="n">
        <f aca="false">O19/O16</f>
        <v>0.85</v>
      </c>
      <c r="P20" s="48" t="n">
        <f aca="false">P19/P16</f>
        <v>0.8</v>
      </c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true" outlineLevel="0" collapsed="false">
      <c r="A21" s="0"/>
      <c r="B21" s="121" t="s">
        <v>21</v>
      </c>
      <c r="C21" s="122"/>
      <c r="D21" s="39"/>
      <c r="E21" s="39"/>
      <c r="F21" s="39"/>
      <c r="G21" s="39"/>
      <c r="H21" s="39"/>
      <c r="I21" s="39"/>
      <c r="J21" s="123"/>
      <c r="K21" s="39"/>
      <c r="L21" s="39"/>
      <c r="M21" s="39"/>
      <c r="N21" s="39"/>
      <c r="O21" s="39"/>
      <c r="P21" s="39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true" outlineLevel="0" collapsed="false">
      <c r="A22" s="0"/>
      <c r="B22" s="51" t="s">
        <v>67</v>
      </c>
      <c r="C22" s="51"/>
      <c r="D22" s="39" t="n">
        <v>0</v>
      </c>
      <c r="E22" s="39" t="n">
        <v>0</v>
      </c>
      <c r="F22" s="39" t="n">
        <v>0</v>
      </c>
      <c r="G22" s="39" t="n">
        <v>0</v>
      </c>
      <c r="H22" s="39" t="n">
        <v>0</v>
      </c>
      <c r="I22" s="39" t="n">
        <v>0</v>
      </c>
      <c r="J22" s="39" t="n">
        <v>0</v>
      </c>
      <c r="K22" s="39" t="n">
        <v>0</v>
      </c>
      <c r="L22" s="39" t="n">
        <v>0</v>
      </c>
      <c r="M22" s="39" t="n">
        <v>0</v>
      </c>
      <c r="N22" s="39" t="n">
        <v>0</v>
      </c>
      <c r="O22" s="39" t="n">
        <v>0</v>
      </c>
      <c r="P22" s="39" t="n">
        <v>0</v>
      </c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true" outlineLevel="0" collapsed="false">
      <c r="A23" s="0"/>
      <c r="B23" s="38" t="s">
        <v>22</v>
      </c>
      <c r="C23" s="38"/>
      <c r="D23" s="39" t="n">
        <f aca="false">Costs!D15*10^-5</f>
        <v>0.31</v>
      </c>
      <c r="E23" s="39" t="n">
        <f aca="false">Costs!E15*10^-5</f>
        <v>0.31</v>
      </c>
      <c r="F23" s="39" t="n">
        <f aca="false">Costs!F15*10^-5</f>
        <v>0.31</v>
      </c>
      <c r="G23" s="39" t="n">
        <f aca="false">Costs!G15*10^-5</f>
        <v>0.83</v>
      </c>
      <c r="H23" s="39" t="n">
        <f aca="false">Costs!H15*10^-5</f>
        <v>0.95</v>
      </c>
      <c r="I23" s="39" t="n">
        <f aca="false">Costs!I15*10^-5</f>
        <v>1.19</v>
      </c>
      <c r="J23" s="39" t="n">
        <f aca="false">Costs!J15*10^-5</f>
        <v>3.44</v>
      </c>
      <c r="K23" s="39" t="n">
        <f aca="false">Costs!K15*10^-5</f>
        <v>2.8</v>
      </c>
      <c r="L23" s="39" t="n">
        <f aca="false">Costs!L15*10^-5</f>
        <v>3.619</v>
      </c>
      <c r="M23" s="39" t="n">
        <f aca="false">Costs!M15*10^-5</f>
        <v>3.595</v>
      </c>
      <c r="N23" s="39" t="n">
        <f aca="false">Costs!N15*10^-5</f>
        <v>3.896</v>
      </c>
      <c r="O23" s="39" t="n">
        <f aca="false">Costs!O15*10^-5</f>
        <v>3.88</v>
      </c>
      <c r="P23" s="39" t="n">
        <f aca="false">Costs!P15*10^-5</f>
        <v>6.06251</v>
      </c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0"/>
      <c r="B24" s="52" t="s">
        <v>23</v>
      </c>
      <c r="C24" s="52"/>
      <c r="D24" s="53" t="n">
        <f aca="false">SUM(D22:D23)</f>
        <v>0.31</v>
      </c>
      <c r="E24" s="53" t="n">
        <f aca="false">SUM(E22:E23)</f>
        <v>0.31</v>
      </c>
      <c r="F24" s="53" t="n">
        <f aca="false">SUM(F22:F23)</f>
        <v>0.31</v>
      </c>
      <c r="G24" s="53" t="n">
        <f aca="false">SUM(G22:G23)</f>
        <v>0.83</v>
      </c>
      <c r="H24" s="53" t="n">
        <f aca="false">SUM(H22:H23)</f>
        <v>0.95</v>
      </c>
      <c r="I24" s="53" t="n">
        <f aca="false">SUM(I22:I23)</f>
        <v>1.19</v>
      </c>
      <c r="J24" s="53" t="n">
        <f aca="false">SUM(J22:J23)</f>
        <v>3.44</v>
      </c>
      <c r="K24" s="53" t="n">
        <f aca="false">SUM(K22:K23)</f>
        <v>2.8</v>
      </c>
      <c r="L24" s="53" t="n">
        <f aca="false">SUM(L22:L23)</f>
        <v>3.619</v>
      </c>
      <c r="M24" s="53" t="n">
        <f aca="false">SUM(M22:M23)</f>
        <v>3.595</v>
      </c>
      <c r="N24" s="53" t="n">
        <f aca="false">SUM(N22:N23)</f>
        <v>3.896</v>
      </c>
      <c r="O24" s="53" t="n">
        <f aca="false">SUM(O22:O23)</f>
        <v>3.88</v>
      </c>
      <c r="P24" s="53" t="n">
        <f aca="false">SUM(P22:P23)</f>
        <v>6.06251</v>
      </c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56" customFormat="true" ht="15" hidden="false" customHeight="true" outlineLevel="0" collapsed="false">
      <c r="B25" s="57" t="s">
        <v>24</v>
      </c>
      <c r="C25" s="57"/>
      <c r="D25" s="58" t="n">
        <f aca="false">D19-D24</f>
        <v>-0.148</v>
      </c>
      <c r="E25" s="58" t="n">
        <f aca="false">E19-E24</f>
        <v>0.194</v>
      </c>
      <c r="F25" s="58" t="n">
        <f aca="false">F19-F24</f>
        <v>0.575</v>
      </c>
      <c r="G25" s="58" t="n">
        <f aca="false">G19-G24</f>
        <v>0.694</v>
      </c>
      <c r="H25" s="58" t="n">
        <f aca="false">H19-H24</f>
        <v>1.579</v>
      </c>
      <c r="I25" s="58" t="n">
        <f aca="false">I19-I24</f>
        <v>2.806</v>
      </c>
      <c r="J25" s="58" t="n">
        <f aca="false">J19-J24</f>
        <v>2.1544</v>
      </c>
      <c r="K25" s="58" t="n">
        <f aca="false">K19-K24</f>
        <v>5.192</v>
      </c>
      <c r="L25" s="58" t="n">
        <f aca="false">L19-L24</f>
        <v>7.37</v>
      </c>
      <c r="M25" s="58" t="n">
        <f aca="false">M19-M24</f>
        <v>9.614</v>
      </c>
      <c r="N25" s="58" t="n">
        <f aca="false">N19-N24</f>
        <v>12.1435</v>
      </c>
      <c r="O25" s="58" t="n">
        <f aca="false">O19-O24</f>
        <v>14.99</v>
      </c>
      <c r="P25" s="58" t="n">
        <f aca="false">P19-P24</f>
        <v>16.13749</v>
      </c>
    </row>
    <row r="26" customFormat="false" ht="15" hidden="false" customHeight="true" outlineLevel="0" collapsed="false">
      <c r="A26" s="0"/>
      <c r="B26" s="47" t="s">
        <v>20</v>
      </c>
      <c r="C26" s="47"/>
      <c r="D26" s="48" t="n">
        <f aca="false">D25/D16</f>
        <v>-0.91358024691358</v>
      </c>
      <c r="E26" s="124" t="n">
        <f aca="false">E25/E16</f>
        <v>0.384920634920635</v>
      </c>
      <c r="F26" s="48" t="n">
        <f aca="false">F25/F16</f>
        <v>0.649717514124294</v>
      </c>
      <c r="G26" s="48" t="n">
        <f aca="false">G25/G16</f>
        <v>0.455380577427822</v>
      </c>
      <c r="H26" s="48" t="n">
        <f aca="false">H25/H16</f>
        <v>0.624357453538948</v>
      </c>
      <c r="I26" s="48" t="n">
        <f aca="false">I25/I16</f>
        <v>0.702202202202202</v>
      </c>
      <c r="J26" s="48" t="n">
        <f aca="false">J25/J16</f>
        <v>0.346589446589447</v>
      </c>
      <c r="K26" s="48" t="n">
        <f aca="false">K25/K16</f>
        <v>0.584684684684685</v>
      </c>
      <c r="L26" s="48" t="n">
        <f aca="false">L25/L16</f>
        <v>0.603603603603604</v>
      </c>
      <c r="M26" s="48" t="n">
        <f aca="false">M25/M16</f>
        <v>0.618661518661519</v>
      </c>
      <c r="N26" s="48" t="n">
        <f aca="false">N25/N16</f>
        <v>0.64353471118177</v>
      </c>
      <c r="O26" s="48" t="n">
        <f aca="false">O25/O16</f>
        <v>0.675225225225225</v>
      </c>
      <c r="P26" s="48" t="n">
        <f aca="false">P25/P16</f>
        <v>0.581531171171171</v>
      </c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true" outlineLevel="0" collapsed="false">
      <c r="A27" s="0"/>
      <c r="B27" s="41" t="s">
        <v>25</v>
      </c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true" outlineLevel="0" collapsed="false">
      <c r="A28" s="0"/>
      <c r="B28" s="125" t="s">
        <v>26</v>
      </c>
      <c r="C28" s="125"/>
      <c r="D28" s="39" t="n">
        <f aca="false">Costs!D22*10^-5</f>
        <v>1</v>
      </c>
      <c r="E28" s="39" t="n">
        <f aca="false">Costs!E22*10^-5</f>
        <v>1.5</v>
      </c>
      <c r="F28" s="39" t="n">
        <f aca="false">Costs!F22*10^-5</f>
        <v>1.5</v>
      </c>
      <c r="G28" s="39" t="n">
        <f aca="false">Costs!G22*10^-5</f>
        <v>0.5</v>
      </c>
      <c r="H28" s="39" t="n">
        <f aca="false">Costs!H22*10^-5</f>
        <v>0.5</v>
      </c>
      <c r="I28" s="39" t="n">
        <f aca="false">Costs!I22*10^-5</f>
        <v>0.5</v>
      </c>
      <c r="J28" s="39" t="n">
        <f aca="false">Costs!J22*10^-5</f>
        <v>0</v>
      </c>
      <c r="K28" s="39" t="n">
        <f aca="false">Costs!K22*10^-5</f>
        <v>0</v>
      </c>
      <c r="L28" s="39" t="n">
        <f aca="false">Costs!L22*10^-5</f>
        <v>0</v>
      </c>
      <c r="M28" s="39" t="n">
        <f aca="false">Costs!M22*10^-5</f>
        <v>0</v>
      </c>
      <c r="N28" s="39" t="n">
        <f aca="false">Costs!N22*10^-5</f>
        <v>0</v>
      </c>
      <c r="O28" s="39" t="n">
        <f aca="false">Costs!O22*10^-5</f>
        <v>0</v>
      </c>
      <c r="P28" s="39" t="n">
        <f aca="false">Costs!P22*10^-5</f>
        <v>0</v>
      </c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true" outlineLevel="0" collapsed="false">
      <c r="A29" s="0"/>
      <c r="B29" s="38" t="s">
        <v>27</v>
      </c>
      <c r="C29" s="38"/>
      <c r="D29" s="39" t="n">
        <f aca="false">Costs!D29*10^-5</f>
        <v>1.155</v>
      </c>
      <c r="E29" s="39" t="n">
        <f aca="false">Costs!E29*10^-5</f>
        <v>1.155</v>
      </c>
      <c r="F29" s="39" t="n">
        <f aca="false">Costs!F29*10^-5</f>
        <v>1.155</v>
      </c>
      <c r="G29" s="39" t="n">
        <f aca="false">Costs!G29*10^-5</f>
        <v>1.155</v>
      </c>
      <c r="H29" s="39" t="n">
        <f aca="false">Costs!H29*10^-5</f>
        <v>1.155</v>
      </c>
      <c r="I29" s="39" t="n">
        <f aca="false">Costs!I29*10^-5</f>
        <v>1.155</v>
      </c>
      <c r="J29" s="39" t="n">
        <f aca="false">Costs!J29*10^-5</f>
        <v>1.5</v>
      </c>
      <c r="K29" s="39" t="n">
        <f aca="false">Costs!K29*10^-5</f>
        <v>1.5</v>
      </c>
      <c r="L29" s="39" t="n">
        <f aca="false">Costs!L29*10^-5</f>
        <v>1.5</v>
      </c>
      <c r="M29" s="39" t="n">
        <f aca="false">Costs!M29*10^-5</f>
        <v>1.5</v>
      </c>
      <c r="N29" s="39" t="n">
        <f aca="false">Costs!N29*10^-5</f>
        <v>1.5</v>
      </c>
      <c r="O29" s="39" t="n">
        <f aca="false">Costs!O29*10^-5</f>
        <v>1.5</v>
      </c>
      <c r="P29" s="39" t="n">
        <f aca="false">Costs!P29*10^-5</f>
        <v>1.638</v>
      </c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0"/>
      <c r="B30" s="38" t="s">
        <v>28</v>
      </c>
      <c r="C30" s="38"/>
      <c r="D30" s="39" t="n">
        <f aca="false">Costs!D37*10^-5</f>
        <v>0.505</v>
      </c>
      <c r="E30" s="39" t="n">
        <f aca="false">Costs!E37*10^-5</f>
        <v>1.09</v>
      </c>
      <c r="F30" s="39" t="n">
        <f aca="false">Costs!F37*10^-5</f>
        <v>1.27</v>
      </c>
      <c r="G30" s="39" t="n">
        <f aca="false">Costs!G37*10^-5</f>
        <v>1.77</v>
      </c>
      <c r="H30" s="39" t="n">
        <f aca="false">Costs!H37*10^-5</f>
        <v>2.02</v>
      </c>
      <c r="I30" s="39" t="n">
        <f aca="false">Costs!I37*10^-5</f>
        <v>2.02</v>
      </c>
      <c r="J30" s="39" t="n">
        <f aca="false">Costs!J37*10^-5</f>
        <v>3.91</v>
      </c>
      <c r="K30" s="39" t="n">
        <f aca="false">Costs!K37*10^-5</f>
        <v>3.91</v>
      </c>
      <c r="L30" s="39" t="n">
        <f aca="false">Costs!L37*10^-5</f>
        <v>4.255</v>
      </c>
      <c r="M30" s="39" t="n">
        <f aca="false">Costs!M37*10^-5</f>
        <v>4.255</v>
      </c>
      <c r="N30" s="39" t="n">
        <f aca="false">Costs!N37*10^-5</f>
        <v>4.255</v>
      </c>
      <c r="O30" s="39" t="n">
        <f aca="false">Costs!O37*10^-5</f>
        <v>4.255</v>
      </c>
      <c r="P30" s="39" t="n">
        <f aca="false">Costs!P37*10^-5</f>
        <v>5.9635</v>
      </c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0"/>
      <c r="B31" s="61" t="s">
        <v>29</v>
      </c>
      <c r="C31" s="61"/>
      <c r="D31" s="42" t="n">
        <f aca="false">Costs!D47*10^-5</f>
        <v>0.41</v>
      </c>
      <c r="E31" s="42" t="n">
        <f aca="false">Costs!E47*10^-5</f>
        <v>0.16</v>
      </c>
      <c r="F31" s="42" t="n">
        <f aca="false">Costs!F47*10^-5</f>
        <v>0.16</v>
      </c>
      <c r="G31" s="42" t="n">
        <f aca="false">Costs!G47*10^-5</f>
        <v>0.16</v>
      </c>
      <c r="H31" s="42" t="n">
        <f aca="false">Costs!H47*10^-5</f>
        <v>0.185</v>
      </c>
      <c r="I31" s="42" t="n">
        <f aca="false">Costs!I47*10^-5</f>
        <v>0.435</v>
      </c>
      <c r="J31" s="42" t="n">
        <f aca="false">Costs!J47*10^-5</f>
        <v>1.21075</v>
      </c>
      <c r="K31" s="42" t="n">
        <f aca="false">Costs!K47*10^-5</f>
        <v>1.22575</v>
      </c>
      <c r="L31" s="42" t="n">
        <f aca="false">Costs!L47*10^-5</f>
        <v>1.27575</v>
      </c>
      <c r="M31" s="42" t="n">
        <f aca="false">Costs!M47*10^-5</f>
        <v>1.77575</v>
      </c>
      <c r="N31" s="42" t="n">
        <f aca="false">Costs!N47*10^-5</f>
        <v>1.32575</v>
      </c>
      <c r="O31" s="42" t="n">
        <f aca="false">Costs!O47*10^-5</f>
        <v>1.32575</v>
      </c>
      <c r="P31" s="42" t="n">
        <f aca="false">Costs!P47*10^-5</f>
        <v>1.52483</v>
      </c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true" outlineLevel="0" collapsed="false">
      <c r="A32" s="0"/>
      <c r="B32" s="62" t="s">
        <v>30</v>
      </c>
      <c r="C32" s="62"/>
      <c r="D32" s="63" t="n">
        <f aca="false">SUM(D28:D31)</f>
        <v>3.07</v>
      </c>
      <c r="E32" s="63" t="n">
        <f aca="false">SUM(E28:E31)</f>
        <v>3.905</v>
      </c>
      <c r="F32" s="63" t="n">
        <f aca="false">SUM(F28:F31)</f>
        <v>4.085</v>
      </c>
      <c r="G32" s="63" t="n">
        <f aca="false">SUM(G28:G31)</f>
        <v>3.585</v>
      </c>
      <c r="H32" s="63" t="n">
        <f aca="false">SUM(H28:H31)</f>
        <v>3.86</v>
      </c>
      <c r="I32" s="63" t="n">
        <f aca="false">SUM(I28:I31)</f>
        <v>4.11</v>
      </c>
      <c r="J32" s="63" t="n">
        <f aca="false">SUM(J28:J31)</f>
        <v>6.62075</v>
      </c>
      <c r="K32" s="63" t="n">
        <f aca="false">SUM(K28:K31)</f>
        <v>6.63575</v>
      </c>
      <c r="L32" s="63" t="n">
        <f aca="false">SUM(L28:L31)</f>
        <v>7.03075</v>
      </c>
      <c r="M32" s="63" t="n">
        <f aca="false">SUM(M28:M31)</f>
        <v>7.53075</v>
      </c>
      <c r="N32" s="63" t="n">
        <f aca="false">SUM(N28:N31)</f>
        <v>7.08075</v>
      </c>
      <c r="O32" s="63" t="n">
        <f aca="false">SUM(O28:O31)</f>
        <v>7.08075</v>
      </c>
      <c r="P32" s="63" t="n">
        <f aca="false">SUM(P28:P31)</f>
        <v>9.12633</v>
      </c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65" customFormat="true" ht="15" hidden="false" customHeight="true" outlineLevel="0" collapsed="false">
      <c r="B33" s="66" t="s">
        <v>32</v>
      </c>
      <c r="C33" s="66"/>
      <c r="D33" s="67" t="n">
        <f aca="false">D25-D32</f>
        <v>-3.218</v>
      </c>
      <c r="E33" s="67" t="n">
        <f aca="false">E25-E32</f>
        <v>-3.711</v>
      </c>
      <c r="F33" s="67" t="n">
        <f aca="false">F25-F32</f>
        <v>-3.51</v>
      </c>
      <c r="G33" s="67" t="n">
        <f aca="false">G25-G32</f>
        <v>-2.891</v>
      </c>
      <c r="H33" s="67" t="n">
        <f aca="false">H25-H32</f>
        <v>-2.281</v>
      </c>
      <c r="I33" s="67" t="n">
        <f aca="false">I25-I32</f>
        <v>-1.304</v>
      </c>
      <c r="J33" s="67" t="n">
        <f aca="false">J25-J32</f>
        <v>-4.46635</v>
      </c>
      <c r="K33" s="67" t="n">
        <f aca="false">K25-K32</f>
        <v>-1.44375</v>
      </c>
      <c r="L33" s="126" t="n">
        <f aca="false">L25-L32</f>
        <v>0.33925</v>
      </c>
      <c r="M33" s="67" t="n">
        <f aca="false">M25-M32</f>
        <v>2.08325</v>
      </c>
      <c r="N33" s="67" t="n">
        <f aca="false">N25-N32</f>
        <v>5.06275</v>
      </c>
      <c r="O33" s="67" t="n">
        <f aca="false">O25-O32</f>
        <v>7.90925</v>
      </c>
      <c r="P33" s="67" t="n">
        <f aca="false">P25-P32</f>
        <v>7.01116</v>
      </c>
    </row>
    <row r="34" s="56" customFormat="true" ht="15" hidden="false" customHeight="true" outlineLevel="0" collapsed="false">
      <c r="B34" s="78" t="s">
        <v>20</v>
      </c>
      <c r="C34" s="78"/>
      <c r="D34" s="79" t="n">
        <f aca="false">D33/D16</f>
        <v>-19.8641975308642</v>
      </c>
      <c r="E34" s="79" t="n">
        <f aca="false">E33/E16</f>
        <v>-7.36309523809524</v>
      </c>
      <c r="F34" s="79" t="n">
        <f aca="false">F33/F16</f>
        <v>-3.96610169491525</v>
      </c>
      <c r="G34" s="79" t="n">
        <f aca="false">G33/G16</f>
        <v>-1.89698162729659</v>
      </c>
      <c r="H34" s="79" t="n">
        <f aca="false">H33/H16</f>
        <v>-0.901937524713325</v>
      </c>
      <c r="I34" s="79" t="n">
        <f aca="false">I33/I16</f>
        <v>-0.326326326326326</v>
      </c>
      <c r="J34" s="79" t="n">
        <f aca="false">J33/J16</f>
        <v>-0.718524774774775</v>
      </c>
      <c r="K34" s="79" t="n">
        <f aca="false">K33/K16</f>
        <v>-0.162584459459459</v>
      </c>
      <c r="L34" s="79" t="n">
        <f aca="false">L33/L16</f>
        <v>0.0277846027846028</v>
      </c>
      <c r="M34" s="79" t="n">
        <f aca="false">M33/M16</f>
        <v>0.134057271557271</v>
      </c>
      <c r="N34" s="79" t="n">
        <f aca="false">N33/N16</f>
        <v>0.268296237413884</v>
      </c>
      <c r="O34" s="79" t="n">
        <f aca="false">O33/O16</f>
        <v>0.356272522522522</v>
      </c>
      <c r="P34" s="79" t="n">
        <f aca="false">P33/P16</f>
        <v>0.252654414414414</v>
      </c>
    </row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</sheetData>
  <mergeCells count="7">
    <mergeCell ref="D2:I2"/>
    <mergeCell ref="J2:O2"/>
    <mergeCell ref="D3:F3"/>
    <mergeCell ref="G3:I3"/>
    <mergeCell ref="J3:K3"/>
    <mergeCell ref="L3:M3"/>
    <mergeCell ref="N3:O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E16" activeCellId="0" sqref="E16"/>
    </sheetView>
  </sheetViews>
  <sheetFormatPr defaultRowHeight="15"/>
  <cols>
    <col collapsed="false" hidden="false" max="1" min="1" style="1" width="4.02834008097166"/>
    <col collapsed="false" hidden="false" max="2" min="2" style="1" width="24.9392712550607"/>
    <col collapsed="false" hidden="false" max="14" min="3" style="1" width="7.19838056680162"/>
    <col collapsed="false" hidden="true" max="15" min="15" style="1" width="0"/>
    <col collapsed="false" hidden="false" max="1025" min="16" style="1" width="18.5101214574899"/>
  </cols>
  <sheetData>
    <row r="1" customFormat="false" ht="12.75" hidden="false" customHeight="true" outlineLevel="0" collapsed="false">
      <c r="A1" s="0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75" hidden="false" customHeight="true" outlineLevel="0" collapsed="false">
      <c r="A2" s="0"/>
      <c r="B2" s="2"/>
      <c r="C2" s="102" t="s">
        <v>38</v>
      </c>
      <c r="D2" s="102"/>
      <c r="E2" s="102"/>
      <c r="F2" s="102"/>
      <c r="G2" s="102"/>
      <c r="H2" s="102"/>
      <c r="I2" s="102" t="s">
        <v>39</v>
      </c>
      <c r="J2" s="102"/>
      <c r="K2" s="102"/>
      <c r="L2" s="102"/>
      <c r="M2" s="102"/>
      <c r="N2" s="102"/>
      <c r="O2" s="2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true" outlineLevel="0" collapsed="false">
      <c r="A3" s="0"/>
      <c r="B3" s="2"/>
      <c r="C3" s="103" t="s">
        <v>40</v>
      </c>
      <c r="D3" s="103"/>
      <c r="E3" s="103"/>
      <c r="F3" s="104" t="s">
        <v>41</v>
      </c>
      <c r="G3" s="104"/>
      <c r="H3" s="104"/>
      <c r="I3" s="103" t="s">
        <v>42</v>
      </c>
      <c r="J3" s="103"/>
      <c r="K3" s="127" t="s">
        <v>43</v>
      </c>
      <c r="L3" s="127"/>
      <c r="M3" s="104" t="s">
        <v>44</v>
      </c>
      <c r="N3" s="104"/>
      <c r="O3" s="3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true" outlineLevel="0" collapsed="false">
      <c r="A4" s="0"/>
      <c r="B4" s="4" t="s">
        <v>0</v>
      </c>
      <c r="C4" s="109" t="s">
        <v>45</v>
      </c>
      <c r="D4" s="109" t="s">
        <v>46</v>
      </c>
      <c r="E4" s="109" t="s">
        <v>47</v>
      </c>
      <c r="F4" s="109" t="s">
        <v>48</v>
      </c>
      <c r="G4" s="109" t="s">
        <v>49</v>
      </c>
      <c r="H4" s="109" t="s">
        <v>50</v>
      </c>
      <c r="I4" s="109" t="s">
        <v>51</v>
      </c>
      <c r="J4" s="109" t="s">
        <v>52</v>
      </c>
      <c r="K4" s="109" t="s">
        <v>53</v>
      </c>
      <c r="L4" s="109" t="s">
        <v>54</v>
      </c>
      <c r="M4" s="109" t="s">
        <v>55</v>
      </c>
      <c r="N4" s="109" t="s">
        <v>56</v>
      </c>
      <c r="O4" s="109" t="s">
        <v>57</v>
      </c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0"/>
      <c r="B5" s="128" t="s">
        <v>32</v>
      </c>
      <c r="C5" s="129" t="n">
        <f aca="false">PL!D33</f>
        <v>-3.218</v>
      </c>
      <c r="D5" s="129" t="n">
        <f aca="false">PL!E33</f>
        <v>-3.711</v>
      </c>
      <c r="E5" s="129" t="n">
        <f aca="false">PL!F33</f>
        <v>-3.51</v>
      </c>
      <c r="F5" s="129" t="n">
        <f aca="false">PL!G33</f>
        <v>-2.891</v>
      </c>
      <c r="G5" s="129" t="n">
        <f aca="false">PL!H33</f>
        <v>-2.281</v>
      </c>
      <c r="H5" s="129" t="n">
        <f aca="false">PL!I33</f>
        <v>-1.304</v>
      </c>
      <c r="I5" s="129" t="n">
        <f aca="false">PL!J33</f>
        <v>-4.46635</v>
      </c>
      <c r="J5" s="129" t="n">
        <f aca="false">PL!K33</f>
        <v>-1.44375</v>
      </c>
      <c r="K5" s="129" t="n">
        <f aca="false">PL!L33</f>
        <v>0.33925</v>
      </c>
      <c r="L5" s="129" t="n">
        <f aca="false">PL!M33</f>
        <v>2.08325</v>
      </c>
      <c r="M5" s="129" t="n">
        <f aca="false">PL!N33</f>
        <v>5.06275</v>
      </c>
      <c r="N5" s="129" t="n">
        <f aca="false">PL!O33</f>
        <v>7.90925</v>
      </c>
      <c r="O5" s="129" t="n">
        <f aca="false">PL!P33</f>
        <v>7.01116</v>
      </c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true" outlineLevel="0" collapsed="false">
      <c r="A6" s="0"/>
      <c r="B6" s="44" t="s">
        <v>68</v>
      </c>
      <c r="C6" s="130" t="n">
        <f aca="false">SUM(C5:C5)</f>
        <v>-3.218</v>
      </c>
      <c r="D6" s="130" t="n">
        <f aca="false">SUM(D5:D5)</f>
        <v>-3.711</v>
      </c>
      <c r="E6" s="130" t="n">
        <f aca="false">SUM(E5:E5)</f>
        <v>-3.51</v>
      </c>
      <c r="F6" s="130" t="n">
        <f aca="false">SUM(F5:F5)</f>
        <v>-2.891</v>
      </c>
      <c r="G6" s="130" t="n">
        <f aca="false">SUM(G5:G5)</f>
        <v>-2.281</v>
      </c>
      <c r="H6" s="130" t="n">
        <f aca="false">SUM(H5:H5)</f>
        <v>-1.304</v>
      </c>
      <c r="I6" s="130" t="n">
        <f aca="false">SUM(I5:I5)</f>
        <v>-4.46635</v>
      </c>
      <c r="J6" s="130" t="n">
        <f aca="false">SUM(J5:J5)</f>
        <v>-1.44375</v>
      </c>
      <c r="K6" s="130" t="n">
        <f aca="false">SUM(K5:K5)</f>
        <v>0.33925</v>
      </c>
      <c r="L6" s="130" t="n">
        <f aca="false">SUM(L5:L5)</f>
        <v>2.08325</v>
      </c>
      <c r="M6" s="130" t="n">
        <f aca="false">SUM(M5:M5)</f>
        <v>5.06275</v>
      </c>
      <c r="N6" s="130" t="n">
        <f aca="false">SUM(N5:N5)</f>
        <v>7.90925</v>
      </c>
      <c r="O6" s="130" t="n">
        <f aca="false">SUM(O5:O5)</f>
        <v>7.01116</v>
      </c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56" customFormat="true" ht="15" hidden="false" customHeight="true" outlineLevel="0" collapsed="false">
      <c r="B7" s="131" t="s">
        <v>69</v>
      </c>
      <c r="C7" s="132" t="n">
        <f aca="false">PL!D22</f>
        <v>0</v>
      </c>
      <c r="D7" s="132" t="n">
        <f aca="false">PL!E22</f>
        <v>0</v>
      </c>
      <c r="E7" s="132" t="n">
        <f aca="false">PL!F22</f>
        <v>0</v>
      </c>
      <c r="F7" s="132" t="n">
        <f aca="false">PL!G22</f>
        <v>0</v>
      </c>
      <c r="G7" s="132" t="n">
        <f aca="false">PL!H22</f>
        <v>0</v>
      </c>
      <c r="H7" s="132" t="n">
        <f aca="false">PL!I22</f>
        <v>0</v>
      </c>
      <c r="I7" s="132" t="n">
        <f aca="false">PL!J22</f>
        <v>0</v>
      </c>
      <c r="J7" s="132" t="n">
        <f aca="false">PL!K22</f>
        <v>0</v>
      </c>
      <c r="K7" s="132" t="n">
        <f aca="false">PL!L22</f>
        <v>0</v>
      </c>
      <c r="L7" s="132" t="n">
        <f aca="false">PL!M22</f>
        <v>0</v>
      </c>
      <c r="M7" s="132" t="n">
        <f aca="false">PL!N22</f>
        <v>0</v>
      </c>
      <c r="N7" s="132" t="n">
        <f aca="false">PL!O22</f>
        <v>0</v>
      </c>
      <c r="O7" s="132" t="n">
        <f aca="false">PL!P22</f>
        <v>0</v>
      </c>
    </row>
    <row r="8" customFormat="false" ht="15" hidden="false" customHeight="true" outlineLevel="0" collapsed="false">
      <c r="A8" s="56"/>
      <c r="B8" s="8" t="s">
        <v>70</v>
      </c>
      <c r="C8" s="133" t="n">
        <v>10</v>
      </c>
      <c r="D8" s="134"/>
      <c r="E8" s="133" t="n">
        <v>2</v>
      </c>
      <c r="F8" s="133" t="n">
        <v>2</v>
      </c>
      <c r="G8" s="133" t="n">
        <v>2</v>
      </c>
      <c r="H8" s="134" t="n">
        <v>3</v>
      </c>
      <c r="I8" s="134" t="n">
        <v>3</v>
      </c>
      <c r="J8" s="134" t="n">
        <v>3</v>
      </c>
      <c r="K8" s="134"/>
      <c r="L8" s="134"/>
      <c r="M8" s="134"/>
      <c r="N8" s="134"/>
      <c r="O8" s="134"/>
    </row>
    <row r="9" customFormat="false" ht="15" hidden="false" customHeight="true" outlineLevel="0" collapsed="false">
      <c r="A9" s="56"/>
      <c r="B9" s="135" t="s">
        <v>71</v>
      </c>
      <c r="C9" s="136" t="n">
        <f aca="false">C6+C7+C8</f>
        <v>6.782</v>
      </c>
      <c r="D9" s="136" t="n">
        <f aca="false">D6+D7+D8</f>
        <v>-3.711</v>
      </c>
      <c r="E9" s="136" t="n">
        <f aca="false">E6+E7+E8</f>
        <v>-1.51</v>
      </c>
      <c r="F9" s="136" t="n">
        <f aca="false">F6+F7+F8</f>
        <v>-0.891</v>
      </c>
      <c r="G9" s="136" t="n">
        <f aca="false">G6+G7+G8</f>
        <v>-0.281</v>
      </c>
      <c r="H9" s="136" t="n">
        <f aca="false">H6+H7+H8</f>
        <v>1.696</v>
      </c>
      <c r="I9" s="136" t="n">
        <f aca="false">I6+I7+I8</f>
        <v>-1.46635</v>
      </c>
      <c r="J9" s="136" t="n">
        <f aca="false">J6+J7+J8</f>
        <v>1.55625</v>
      </c>
      <c r="K9" s="136" t="n">
        <f aca="false">K6+K7+K8</f>
        <v>0.33925</v>
      </c>
      <c r="L9" s="136" t="n">
        <f aca="false">L6+L7+L8</f>
        <v>2.08325</v>
      </c>
      <c r="M9" s="136" t="n">
        <f aca="false">M6+M7+M8</f>
        <v>5.06275</v>
      </c>
      <c r="N9" s="136" t="n">
        <f aca="false">N6+N7+N8</f>
        <v>7.90925</v>
      </c>
      <c r="O9" s="136" t="n">
        <f aca="false">O6+O7+O8</f>
        <v>7.01116</v>
      </c>
    </row>
    <row r="10" customFormat="false" ht="15" hidden="false" customHeight="true" outlineLevel="0" collapsed="false">
      <c r="B10" s="137" t="s">
        <v>35</v>
      </c>
      <c r="C10" s="138" t="n">
        <v>0</v>
      </c>
      <c r="D10" s="138" t="n">
        <f aca="false">C11</f>
        <v>6.782</v>
      </c>
      <c r="E10" s="138" t="n">
        <f aca="false">D11</f>
        <v>3.071</v>
      </c>
      <c r="F10" s="138" t="n">
        <f aca="false">E11</f>
        <v>1.561</v>
      </c>
      <c r="G10" s="138" t="n">
        <f aca="false">F11</f>
        <v>0.67</v>
      </c>
      <c r="H10" s="138" t="n">
        <f aca="false">G11</f>
        <v>0.389</v>
      </c>
      <c r="I10" s="138" t="n">
        <f aca="false">H11</f>
        <v>2.085</v>
      </c>
      <c r="J10" s="138" t="n">
        <f aca="false">I11</f>
        <v>0.61865</v>
      </c>
      <c r="K10" s="138" t="n">
        <f aca="false">J11</f>
        <v>2.1749</v>
      </c>
      <c r="L10" s="138" t="n">
        <f aca="false">K11</f>
        <v>2.51415</v>
      </c>
      <c r="M10" s="138" t="n">
        <f aca="false">L11</f>
        <v>4.5974</v>
      </c>
      <c r="N10" s="138" t="n">
        <f aca="false">M11</f>
        <v>9.66015</v>
      </c>
      <c r="O10" s="138" t="n">
        <f aca="false">N11</f>
        <v>17.5694</v>
      </c>
    </row>
    <row r="11" customFormat="false" ht="15" hidden="false" customHeight="true" outlineLevel="0" collapsed="false">
      <c r="B11" s="139" t="s">
        <v>36</v>
      </c>
      <c r="C11" s="140" t="n">
        <f aca="false">C10+C9</f>
        <v>6.782</v>
      </c>
      <c r="D11" s="140" t="n">
        <f aca="false">D10+D9</f>
        <v>3.071</v>
      </c>
      <c r="E11" s="140" t="n">
        <f aca="false">E10+E9</f>
        <v>1.561</v>
      </c>
      <c r="F11" s="140" t="n">
        <f aca="false">F10+F9</f>
        <v>0.67</v>
      </c>
      <c r="G11" s="140" t="n">
        <f aca="false">G10+G9</f>
        <v>0.389</v>
      </c>
      <c r="H11" s="140" t="n">
        <f aca="false">H10+H9</f>
        <v>2.085</v>
      </c>
      <c r="I11" s="140" t="n">
        <f aca="false">I10+I9</f>
        <v>0.61865</v>
      </c>
      <c r="J11" s="140" t="n">
        <f aca="false">J10+J9</f>
        <v>2.1749</v>
      </c>
      <c r="K11" s="140" t="n">
        <f aca="false">K10+K9</f>
        <v>2.51415</v>
      </c>
      <c r="L11" s="140" t="n">
        <f aca="false">L10+L9</f>
        <v>4.5974</v>
      </c>
      <c r="M11" s="140" t="n">
        <f aca="false">M10+M9</f>
        <v>9.66015</v>
      </c>
      <c r="N11" s="140" t="n">
        <f aca="false">N10+N9</f>
        <v>17.5694</v>
      </c>
      <c r="O11" s="140" t="n">
        <f aca="false">O10+O9</f>
        <v>24.58056</v>
      </c>
    </row>
    <row r="12" customFormat="false" ht="15" hidden="false" customHeight="true" outlineLevel="0" collapsed="false">
      <c r="B12" s="141" t="s">
        <v>37</v>
      </c>
      <c r="C12" s="142" t="n">
        <f aca="false">MIN(C11:O11)</f>
        <v>0.389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1048576" customFormat="false" ht="15" hidden="false" customHeight="false" outlineLevel="0" collapsed="false"/>
  </sheetData>
  <mergeCells count="7">
    <mergeCell ref="C2:H2"/>
    <mergeCell ref="I2:N2"/>
    <mergeCell ref="C3:E3"/>
    <mergeCell ref="F3:H3"/>
    <mergeCell ref="I3:J3"/>
    <mergeCell ref="K3:L3"/>
    <mergeCell ref="M3:N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3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B2" activeCellId="0" sqref="B2"/>
    </sheetView>
  </sheetViews>
  <sheetFormatPr defaultRowHeight="15"/>
  <cols>
    <col collapsed="false" hidden="false" max="1" min="1" style="143" width="4.02834008097166"/>
    <col collapsed="false" hidden="false" max="2" min="2" style="143" width="51.1619433198381"/>
    <col collapsed="false" hidden="false" max="3" min="3" style="143" width="10.5425101214575"/>
    <col collapsed="false" hidden="false" max="15" min="4" style="143" width="10.8825910931174"/>
    <col collapsed="false" hidden="true" max="16" min="16" style="143" width="0"/>
    <col collapsed="false" hidden="false" max="1025" min="17" style="143" width="9.85425101214575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0"/>
      <c r="B2" s="144" t="s">
        <v>72</v>
      </c>
      <c r="C2" s="144"/>
      <c r="D2" s="145" t="n">
        <f aca="false">PL!D5</f>
        <v>10</v>
      </c>
      <c r="E2" s="145" t="n">
        <f aca="false">PL!E5</f>
        <v>30</v>
      </c>
      <c r="F2" s="145" t="n">
        <f aca="false">PL!F5</f>
        <v>50</v>
      </c>
      <c r="G2" s="145" t="n">
        <f aca="false">PL!G5</f>
        <v>80</v>
      </c>
      <c r="H2" s="145" t="n">
        <f aca="false">PL!H5</f>
        <v>120</v>
      </c>
      <c r="I2" s="145" t="n">
        <f aca="false">PL!I5</f>
        <v>180</v>
      </c>
      <c r="J2" s="145" t="n">
        <f aca="false">PL!J5</f>
        <v>280</v>
      </c>
      <c r="K2" s="145" t="n">
        <f aca="false">PL!K5</f>
        <v>400</v>
      </c>
      <c r="L2" s="145" t="n">
        <f aca="false">PL!L5</f>
        <v>550</v>
      </c>
      <c r="M2" s="145" t="n">
        <f aca="false">PL!M5</f>
        <v>700</v>
      </c>
      <c r="N2" s="145" t="n">
        <f aca="false">PL!N5</f>
        <v>850</v>
      </c>
      <c r="O2" s="145" t="n">
        <f aca="false">PL!O5</f>
        <v>1000</v>
      </c>
      <c r="P2" s="145" t="n">
        <f aca="false">PL!P5</f>
        <v>1250</v>
      </c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0"/>
      <c r="B3" s="144" t="s">
        <v>73</v>
      </c>
      <c r="C3" s="144"/>
      <c r="D3" s="145" t="n">
        <v>0</v>
      </c>
      <c r="E3" s="145" t="n">
        <f aca="false">E2-D2</f>
        <v>20</v>
      </c>
      <c r="F3" s="145" t="n">
        <f aca="false">F2-E2</f>
        <v>20</v>
      </c>
      <c r="G3" s="145" t="n">
        <f aca="false">G2-F2</f>
        <v>30</v>
      </c>
      <c r="H3" s="145" t="n">
        <f aca="false">H2-G2</f>
        <v>40</v>
      </c>
      <c r="I3" s="145" t="n">
        <f aca="false">I2-H2</f>
        <v>60</v>
      </c>
      <c r="J3" s="145" t="n">
        <f aca="false">J2-I2</f>
        <v>100</v>
      </c>
      <c r="K3" s="145" t="n">
        <f aca="false">K2-J2</f>
        <v>120</v>
      </c>
      <c r="L3" s="145" t="n">
        <f aca="false">L2-K2</f>
        <v>150</v>
      </c>
      <c r="M3" s="145" t="n">
        <f aca="false">M2-L2</f>
        <v>150</v>
      </c>
      <c r="N3" s="145" t="n">
        <f aca="false">N2-M2</f>
        <v>150</v>
      </c>
      <c r="O3" s="145" t="n">
        <f aca="false">O2-N2</f>
        <v>150</v>
      </c>
      <c r="P3" s="145" t="n">
        <f aca="false">P2-O2</f>
        <v>250</v>
      </c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0"/>
      <c r="B4" s="143" t="s">
        <v>74</v>
      </c>
      <c r="C4" s="143" t="s">
        <v>75</v>
      </c>
      <c r="D4" s="109" t="s">
        <v>45</v>
      </c>
      <c r="E4" s="109" t="s">
        <v>46</v>
      </c>
      <c r="F4" s="109" t="s">
        <v>47</v>
      </c>
      <c r="G4" s="109" t="s">
        <v>48</v>
      </c>
      <c r="H4" s="109" t="s">
        <v>49</v>
      </c>
      <c r="I4" s="109" t="s">
        <v>50</v>
      </c>
      <c r="J4" s="109" t="s">
        <v>51</v>
      </c>
      <c r="K4" s="109" t="s">
        <v>52</v>
      </c>
      <c r="L4" s="109" t="s">
        <v>53</v>
      </c>
      <c r="M4" s="109" t="s">
        <v>54</v>
      </c>
      <c r="N4" s="109" t="s">
        <v>55</v>
      </c>
      <c r="O4" s="109" t="s">
        <v>56</v>
      </c>
      <c r="P4" s="109" t="s">
        <v>57</v>
      </c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0"/>
      <c r="B5" s="146" t="s">
        <v>76</v>
      </c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0"/>
      <c r="B6" s="143" t="s">
        <v>77</v>
      </c>
      <c r="C6" s="0"/>
      <c r="D6" s="147" t="n">
        <f aca="false">Payroll!G37</f>
        <v>27000</v>
      </c>
      <c r="E6" s="147" t="n">
        <f aca="false">Payroll!H37</f>
        <v>27000</v>
      </c>
      <c r="F6" s="147" t="n">
        <f aca="false">Payroll!I37</f>
        <v>27000</v>
      </c>
      <c r="G6" s="147" t="n">
        <f aca="false">Payroll!J37</f>
        <v>39500</v>
      </c>
      <c r="H6" s="147" t="n">
        <f aca="false">Payroll!K37</f>
        <v>39500</v>
      </c>
      <c r="I6" s="147" t="n">
        <f aca="false">Payroll!L37</f>
        <v>39500</v>
      </c>
      <c r="J6" s="147" t="n">
        <f aca="false">Payroll!M37</f>
        <v>68500</v>
      </c>
      <c r="K6" s="147" t="n">
        <f aca="false">Payroll!N37</f>
        <v>68500</v>
      </c>
      <c r="L6" s="147" t="n">
        <f aca="false">Payroll!O37</f>
        <v>95500</v>
      </c>
      <c r="M6" s="147" t="n">
        <f aca="false">Payroll!P37</f>
        <v>95500</v>
      </c>
      <c r="N6" s="147" t="n">
        <f aca="false">Payroll!Q37</f>
        <v>122500</v>
      </c>
      <c r="O6" s="147" t="n">
        <f aca="false">Payroll!R37</f>
        <v>122500</v>
      </c>
      <c r="P6" s="147" t="n">
        <f aca="false">Payroll!S37</f>
        <v>164450</v>
      </c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0"/>
      <c r="B7" s="148" t="s">
        <v>78</v>
      </c>
      <c r="C7" s="149" t="n">
        <v>2000</v>
      </c>
      <c r="D7" s="149" t="n">
        <v>2000</v>
      </c>
      <c r="E7" s="149" t="n">
        <v>2000</v>
      </c>
      <c r="F7" s="149" t="n">
        <v>2000</v>
      </c>
      <c r="G7" s="149" t="n">
        <v>2000</v>
      </c>
      <c r="H7" s="149" t="n">
        <v>2000</v>
      </c>
      <c r="I7" s="149" t="n">
        <v>2000</v>
      </c>
      <c r="J7" s="149" t="n">
        <v>2000</v>
      </c>
      <c r="K7" s="149" t="n">
        <v>2000</v>
      </c>
      <c r="L7" s="149" t="n">
        <v>2000</v>
      </c>
      <c r="M7" s="149" t="n">
        <v>2000</v>
      </c>
      <c r="N7" s="149" t="n">
        <v>2000</v>
      </c>
      <c r="O7" s="149" t="n">
        <v>2000</v>
      </c>
      <c r="P7" s="149" t="n">
        <v>2000</v>
      </c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0"/>
      <c r="B8" s="148" t="s">
        <v>79</v>
      </c>
      <c r="C8" s="149" t="n">
        <v>2000</v>
      </c>
      <c r="D8" s="149" t="n">
        <v>0</v>
      </c>
      <c r="E8" s="149" t="n">
        <v>0</v>
      </c>
      <c r="F8" s="149" t="n">
        <v>0</v>
      </c>
      <c r="G8" s="149" t="n">
        <v>2000</v>
      </c>
      <c r="H8" s="149" t="n">
        <v>2000</v>
      </c>
      <c r="I8" s="149" t="n">
        <v>2000</v>
      </c>
      <c r="J8" s="149" t="n">
        <v>2000</v>
      </c>
      <c r="K8" s="149" t="n">
        <v>2000</v>
      </c>
      <c r="L8" s="149" t="n">
        <v>2000</v>
      </c>
      <c r="M8" s="149" t="n">
        <v>2000</v>
      </c>
      <c r="N8" s="149" t="n">
        <v>2000</v>
      </c>
      <c r="O8" s="149" t="n">
        <v>2000</v>
      </c>
      <c r="P8" s="149" t="n">
        <v>2000</v>
      </c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0"/>
      <c r="B9" s="150" t="s">
        <v>80</v>
      </c>
      <c r="C9" s="151" t="n">
        <v>1500</v>
      </c>
      <c r="D9" s="147" t="n">
        <f aca="false">$C$9*Payroll!G7</f>
        <v>1500</v>
      </c>
      <c r="E9" s="147" t="n">
        <f aca="false">$C$9*Payroll!H7</f>
        <v>1500</v>
      </c>
      <c r="F9" s="147" t="n">
        <f aca="false">$C$9*Payroll!I7</f>
        <v>1500</v>
      </c>
      <c r="G9" s="147" t="n">
        <f aca="false">$C$9*Payroll!J7</f>
        <v>3000</v>
      </c>
      <c r="H9" s="147" t="n">
        <f aca="false">$C$9*Payroll!K7</f>
        <v>3000</v>
      </c>
      <c r="I9" s="147" t="n">
        <f aca="false">$C$9*Payroll!L7</f>
        <v>3000</v>
      </c>
      <c r="J9" s="147" t="n">
        <f aca="false">$C$9*Payroll!M7</f>
        <v>3000</v>
      </c>
      <c r="K9" s="147" t="n">
        <f aca="false">$C$9*Payroll!N7</f>
        <v>3000</v>
      </c>
      <c r="L9" s="147" t="n">
        <f aca="false">$C$9*Payroll!O7</f>
        <v>4500</v>
      </c>
      <c r="M9" s="147" t="n">
        <f aca="false">$C$9*Payroll!P7</f>
        <v>4500</v>
      </c>
      <c r="N9" s="147" t="n">
        <f aca="false">$C$9*Payroll!Q7</f>
        <v>6000</v>
      </c>
      <c r="O9" s="147" t="n">
        <f aca="false">$C$9*Payroll!R7</f>
        <v>6000</v>
      </c>
      <c r="P9" s="147" t="n">
        <f aca="false">$C$9*Payroll!S7</f>
        <v>7500</v>
      </c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0"/>
      <c r="B10" s="150" t="s">
        <v>81</v>
      </c>
      <c r="C10" s="151" t="n">
        <f aca="false">400*2</f>
        <v>800</v>
      </c>
      <c r="D10" s="147" t="n">
        <v>0</v>
      </c>
      <c r="E10" s="147" t="n">
        <v>0</v>
      </c>
      <c r="F10" s="147" t="n">
        <v>0</v>
      </c>
      <c r="G10" s="147" t="n">
        <v>0</v>
      </c>
      <c r="H10" s="147" t="n">
        <f aca="false">(Payroll!K21-Payroll!J21)*Costs!$C$10</f>
        <v>0</v>
      </c>
      <c r="I10" s="147" t="n">
        <f aca="false">(Payroll!L21-Payroll!K21)*Costs!$C$10</f>
        <v>0</v>
      </c>
      <c r="J10" s="147" t="n">
        <f aca="false">(Payroll!L21)*Costs!$C$10</f>
        <v>8000</v>
      </c>
      <c r="K10" s="147" t="n">
        <f aca="false">(Payroll!N21-Payroll!M21)*Costs!$C$10</f>
        <v>0</v>
      </c>
      <c r="L10" s="147" t="n">
        <f aca="false">(Payroll!O21-Payroll!N21)*Costs!$C$10</f>
        <v>2400</v>
      </c>
      <c r="M10" s="147" t="n">
        <f aca="false">(Payroll!P21-Payroll!O21)*Costs!$C$10</f>
        <v>0</v>
      </c>
      <c r="N10" s="147" t="n">
        <f aca="false">(Payroll!Q21-Payroll!P21)*Costs!$C$10</f>
        <v>1600</v>
      </c>
      <c r="O10" s="147" t="n">
        <f aca="false">(Payroll!R21-Payroll!Q21)*Costs!$C$10</f>
        <v>0</v>
      </c>
      <c r="P10" s="147" t="n">
        <f aca="false">(Payroll!S21-Payroll!R21)*Costs!$C$10</f>
        <v>4800</v>
      </c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0"/>
      <c r="B11" s="150" t="s">
        <v>82</v>
      </c>
      <c r="C11" s="151" t="n">
        <v>500</v>
      </c>
      <c r="D11" s="151" t="n">
        <v>500</v>
      </c>
      <c r="E11" s="151" t="n">
        <v>500</v>
      </c>
      <c r="F11" s="151" t="n">
        <v>500</v>
      </c>
      <c r="G11" s="151" t="n">
        <v>500</v>
      </c>
      <c r="H11" s="151" t="n">
        <v>500</v>
      </c>
      <c r="I11" s="151" t="n">
        <v>500</v>
      </c>
      <c r="J11" s="151" t="n">
        <v>500</v>
      </c>
      <c r="K11" s="151" t="n">
        <v>500</v>
      </c>
      <c r="L11" s="151" t="n">
        <v>500</v>
      </c>
      <c r="M11" s="151" t="n">
        <v>500</v>
      </c>
      <c r="N11" s="151" t="n">
        <v>500</v>
      </c>
      <c r="O11" s="151" t="n">
        <v>500</v>
      </c>
      <c r="P11" s="151" t="n">
        <v>500</v>
      </c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false" outlineLevel="0" collapsed="false">
      <c r="A12" s="0"/>
      <c r="B12" s="150" t="s">
        <v>83</v>
      </c>
      <c r="C12" s="151" t="n">
        <v>1200</v>
      </c>
      <c r="D12" s="151" t="n">
        <v>0</v>
      </c>
      <c r="E12" s="151" t="n">
        <v>0</v>
      </c>
      <c r="F12" s="151" t="n">
        <v>0</v>
      </c>
      <c r="G12" s="151" t="n">
        <f aca="false">G3*$C$12</f>
        <v>36000</v>
      </c>
      <c r="H12" s="151" t="n">
        <f aca="false">H3*$C$12</f>
        <v>48000</v>
      </c>
      <c r="I12" s="151" t="n">
        <f aca="false">I3*$C$12</f>
        <v>72000</v>
      </c>
      <c r="J12" s="151" t="n">
        <f aca="false">J3*$C$12</f>
        <v>120000</v>
      </c>
      <c r="K12" s="151" t="n">
        <f aca="false">K3*$C$12</f>
        <v>144000</v>
      </c>
      <c r="L12" s="151" t="n">
        <f aca="false">L3*$C$12</f>
        <v>180000</v>
      </c>
      <c r="M12" s="151" t="n">
        <f aca="false">M3*$C$12</f>
        <v>180000</v>
      </c>
      <c r="N12" s="151" t="n">
        <f aca="false">N3*$C$12</f>
        <v>180000</v>
      </c>
      <c r="O12" s="151" t="n">
        <f aca="false">O3*$C$12</f>
        <v>180000</v>
      </c>
      <c r="P12" s="151" t="n">
        <f aca="false">P3*$C$12</f>
        <v>300000</v>
      </c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0"/>
      <c r="B13" s="150" t="s">
        <v>84</v>
      </c>
      <c r="C13" s="151" t="n">
        <v>5000</v>
      </c>
      <c r="D13" s="151" t="n">
        <v>0</v>
      </c>
      <c r="E13" s="151" t="n">
        <v>0</v>
      </c>
      <c r="F13" s="151" t="n">
        <v>0</v>
      </c>
      <c r="G13" s="151" t="n">
        <v>0</v>
      </c>
      <c r="H13" s="151" t="n">
        <v>0</v>
      </c>
      <c r="I13" s="151" t="n">
        <v>0</v>
      </c>
      <c r="J13" s="151" t="n">
        <f aca="false">(J2)*$C$13/10</f>
        <v>140000</v>
      </c>
      <c r="K13" s="151" t="n">
        <f aca="false">(K2-J2)*$C$13/10</f>
        <v>60000</v>
      </c>
      <c r="L13" s="151" t="n">
        <f aca="false">(L2-K2)*$C$13/10</f>
        <v>75000</v>
      </c>
      <c r="M13" s="151" t="n">
        <f aca="false">(M2-L2)*$C$13/10</f>
        <v>75000</v>
      </c>
      <c r="N13" s="151" t="n">
        <f aca="false">(N2-M2)*$C$13/10</f>
        <v>75000</v>
      </c>
      <c r="O13" s="151" t="n">
        <f aca="false">(O2-N2)*$C$13/10</f>
        <v>75000</v>
      </c>
      <c r="P13" s="151" t="n">
        <f aca="false">(P2-O2)*$C$13/10</f>
        <v>125000</v>
      </c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0"/>
      <c r="B14" s="152" t="s">
        <v>85</v>
      </c>
      <c r="C14" s="153" t="n">
        <v>0.0225</v>
      </c>
      <c r="D14" s="147" t="n">
        <f aca="false">ROUND(PL!D16*Costs!$C$14,0)</f>
        <v>0</v>
      </c>
      <c r="E14" s="147" t="n">
        <f aca="false">ROUND(PL!E16*Costs!$C$14,0)</f>
        <v>0</v>
      </c>
      <c r="F14" s="147" t="n">
        <f aca="false">ROUND(PL!F16*Costs!$C$14,0)</f>
        <v>0</v>
      </c>
      <c r="G14" s="147" t="n">
        <f aca="false">ROUND(PL!G16*Costs!$C$14,0)</f>
        <v>0</v>
      </c>
      <c r="H14" s="147" t="n">
        <f aca="false">ROUND(PL!H16*Costs!$C$14,0)</f>
        <v>0</v>
      </c>
      <c r="I14" s="147" t="n">
        <f aca="false">ROUND(PL!I16*Costs!$C$14,0)</f>
        <v>0</v>
      </c>
      <c r="J14" s="147" t="n">
        <f aca="false">ROUND(PL!J16*Costs!$C$14,0)</f>
        <v>0</v>
      </c>
      <c r="K14" s="147" t="n">
        <f aca="false">ROUND(PL!K16*Costs!$C$14,0)</f>
        <v>0</v>
      </c>
      <c r="L14" s="147" t="n">
        <f aca="false">ROUND(PL!L16*Costs!$C$14,0)</f>
        <v>0</v>
      </c>
      <c r="M14" s="147" t="n">
        <f aca="false">ROUND(PL!M16*Costs!$C$14,0)</f>
        <v>0</v>
      </c>
      <c r="N14" s="147" t="n">
        <f aca="false">ROUND(PL!N16*Costs!$C$14,0)</f>
        <v>0</v>
      </c>
      <c r="O14" s="147" t="n">
        <f aca="false">ROUND(PL!O16*Costs!$C$14,0)</f>
        <v>0</v>
      </c>
      <c r="P14" s="147" t="n">
        <f aca="false">ROUND(PL!P16*Costs!$C$14,0)</f>
        <v>1</v>
      </c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75" hidden="false" customHeight="false" outlineLevel="0" collapsed="false">
      <c r="A15" s="0"/>
      <c r="B15" s="154" t="s">
        <v>15</v>
      </c>
      <c r="C15" s="155"/>
      <c r="D15" s="156" t="n">
        <f aca="false">SUM(D6:D14)</f>
        <v>31000</v>
      </c>
      <c r="E15" s="156" t="n">
        <f aca="false">SUM(E6:E14)</f>
        <v>31000</v>
      </c>
      <c r="F15" s="156" t="n">
        <f aca="false">SUM(F6:F14)</f>
        <v>31000</v>
      </c>
      <c r="G15" s="156" t="n">
        <f aca="false">SUM(G6:G14)</f>
        <v>83000</v>
      </c>
      <c r="H15" s="156" t="n">
        <f aca="false">SUM(H6:H14)</f>
        <v>95000</v>
      </c>
      <c r="I15" s="156" t="n">
        <f aca="false">SUM(I6:I14)</f>
        <v>119000</v>
      </c>
      <c r="J15" s="156" t="n">
        <f aca="false">SUM(J6:J14)</f>
        <v>344000</v>
      </c>
      <c r="K15" s="156" t="n">
        <f aca="false">SUM(K6:K14)</f>
        <v>280000</v>
      </c>
      <c r="L15" s="156" t="n">
        <f aca="false">SUM(L6:L14)</f>
        <v>361900</v>
      </c>
      <c r="M15" s="156" t="n">
        <f aca="false">SUM(M6:M14)</f>
        <v>359500</v>
      </c>
      <c r="N15" s="156" t="n">
        <f aca="false">SUM(N6:N14)</f>
        <v>389600</v>
      </c>
      <c r="O15" s="156" t="n">
        <f aca="false">SUM(O6:O14)</f>
        <v>388000</v>
      </c>
      <c r="P15" s="156" t="n">
        <f aca="false">SUM(P6:P14)</f>
        <v>606251</v>
      </c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0"/>
      <c r="B16" s="0"/>
      <c r="C16" s="0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false" outlineLevel="0" collapsed="false">
      <c r="A17" s="0"/>
      <c r="B17" s="0"/>
      <c r="C17" s="0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0"/>
      <c r="B18" s="157" t="s">
        <v>86</v>
      </c>
      <c r="C18" s="0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0"/>
      <c r="B19" s="148" t="s">
        <v>40</v>
      </c>
      <c r="C19" s="147" t="n">
        <v>0</v>
      </c>
      <c r="D19" s="147" t="n">
        <f aca="false">D2*5000</f>
        <v>50000</v>
      </c>
      <c r="E19" s="147" t="n">
        <f aca="false">E3*5000</f>
        <v>100000</v>
      </c>
      <c r="F19" s="147" t="n">
        <f aca="false">F3*5000</f>
        <v>100000</v>
      </c>
      <c r="G19" s="147" t="n">
        <v>0</v>
      </c>
      <c r="H19" s="147" t="n">
        <v>0</v>
      </c>
      <c r="I19" s="147" t="n">
        <v>0</v>
      </c>
      <c r="J19" s="147" t="n">
        <v>0</v>
      </c>
      <c r="K19" s="147" t="n">
        <v>0</v>
      </c>
      <c r="L19" s="147" t="n">
        <v>0</v>
      </c>
      <c r="M19" s="147" t="n">
        <v>0</v>
      </c>
      <c r="N19" s="147" t="n">
        <v>0</v>
      </c>
      <c r="O19" s="147" t="n">
        <v>0</v>
      </c>
      <c r="P19" s="147" t="n">
        <v>0</v>
      </c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0"/>
      <c r="B20" s="148" t="s">
        <v>87</v>
      </c>
      <c r="C20" s="147"/>
      <c r="D20" s="147" t="n">
        <v>50000</v>
      </c>
      <c r="E20" s="147" t="n">
        <v>50000</v>
      </c>
      <c r="F20" s="147" t="n">
        <v>50000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0"/>
      <c r="B21" s="148" t="s">
        <v>88</v>
      </c>
      <c r="C21" s="151"/>
      <c r="D21" s="147" t="n">
        <v>0</v>
      </c>
      <c r="E21" s="147" t="n">
        <v>0</v>
      </c>
      <c r="F21" s="147" t="n">
        <v>0</v>
      </c>
      <c r="G21" s="147" t="n">
        <v>50000</v>
      </c>
      <c r="H21" s="147" t="n">
        <v>50000</v>
      </c>
      <c r="I21" s="147" t="n">
        <v>50000</v>
      </c>
      <c r="J21" s="147" t="n">
        <v>0</v>
      </c>
      <c r="K21" s="147" t="n">
        <v>0</v>
      </c>
      <c r="L21" s="147" t="n">
        <v>0</v>
      </c>
      <c r="M21" s="147" t="n">
        <v>0</v>
      </c>
      <c r="N21" s="147" t="n">
        <v>0</v>
      </c>
      <c r="O21" s="147" t="n">
        <v>0</v>
      </c>
      <c r="P21" s="147" t="n">
        <v>0</v>
      </c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46" customFormat="true" ht="15.75" hidden="false" customHeight="false" outlineLevel="0" collapsed="false">
      <c r="B22" s="158" t="s">
        <v>15</v>
      </c>
      <c r="C22" s="155"/>
      <c r="D22" s="155" t="n">
        <f aca="false">SUM(D19:D21)</f>
        <v>100000</v>
      </c>
      <c r="E22" s="155" t="n">
        <f aca="false">SUM(E19:E21)</f>
        <v>150000</v>
      </c>
      <c r="F22" s="155" t="n">
        <f aca="false">SUM(F19:F21)</f>
        <v>150000</v>
      </c>
      <c r="G22" s="155" t="n">
        <f aca="false">SUM(G19:G21)</f>
        <v>50000</v>
      </c>
      <c r="H22" s="155" t="n">
        <f aca="false">SUM(H19:H21)</f>
        <v>50000</v>
      </c>
      <c r="I22" s="155" t="n">
        <f aca="false">SUM(I19:I21)</f>
        <v>50000</v>
      </c>
      <c r="J22" s="155" t="n">
        <f aca="false">SUM(J19:J21)</f>
        <v>0</v>
      </c>
      <c r="K22" s="155" t="n">
        <f aca="false">SUM(K19:K21)</f>
        <v>0</v>
      </c>
      <c r="L22" s="155" t="n">
        <f aca="false">SUM(L19:L21)</f>
        <v>0</v>
      </c>
      <c r="M22" s="155" t="n">
        <f aca="false">SUM(M19:M21)</f>
        <v>0</v>
      </c>
      <c r="N22" s="155" t="n">
        <f aca="false">SUM(N19:N21)</f>
        <v>0</v>
      </c>
      <c r="O22" s="155" t="n">
        <f aca="false">SUM(O19:O21)</f>
        <v>0</v>
      </c>
      <c r="P22" s="155" t="n">
        <f aca="false">SUM(P19:P21)</f>
        <v>0</v>
      </c>
    </row>
    <row r="23" customFormat="false" ht="15" hidden="false" customHeight="false" outlineLevel="0" collapsed="false">
      <c r="A23" s="0"/>
      <c r="B23" s="152"/>
      <c r="C23" s="151"/>
      <c r="D23" s="147"/>
      <c r="E23" s="147"/>
      <c r="F23" s="147"/>
      <c r="G23" s="147"/>
      <c r="H23" s="151"/>
      <c r="I23" s="151"/>
      <c r="J23" s="151"/>
      <c r="K23" s="151"/>
      <c r="L23" s="151"/>
      <c r="M23" s="151"/>
      <c r="N23" s="151"/>
      <c r="O23" s="151"/>
      <c r="P23" s="151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0"/>
      <c r="B24" s="159" t="s">
        <v>89</v>
      </c>
      <c r="C24" s="152"/>
      <c r="D24" s="160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0"/>
      <c r="B25" s="150" t="s">
        <v>77</v>
      </c>
      <c r="C25" s="151"/>
      <c r="D25" s="160" t="n">
        <f aca="false">Payroll!G40</f>
        <v>103500</v>
      </c>
      <c r="E25" s="160" t="n">
        <f aca="false">Payroll!H40</f>
        <v>103500</v>
      </c>
      <c r="F25" s="160" t="n">
        <f aca="false">Payroll!I40</f>
        <v>103500</v>
      </c>
      <c r="G25" s="160" t="n">
        <f aca="false">Payroll!J40</f>
        <v>103500</v>
      </c>
      <c r="H25" s="160" t="n">
        <f aca="false">Payroll!K40</f>
        <v>103500</v>
      </c>
      <c r="I25" s="160" t="n">
        <f aca="false">Payroll!L40</f>
        <v>103500</v>
      </c>
      <c r="J25" s="160" t="n">
        <f aca="false">Payroll!M40</f>
        <v>138000</v>
      </c>
      <c r="K25" s="160" t="n">
        <f aca="false">Payroll!N40</f>
        <v>138000</v>
      </c>
      <c r="L25" s="160" t="n">
        <f aca="false">Payroll!O40</f>
        <v>138000</v>
      </c>
      <c r="M25" s="160" t="n">
        <f aca="false">Payroll!P40</f>
        <v>138000</v>
      </c>
      <c r="N25" s="160" t="n">
        <f aca="false">Payroll!Q40</f>
        <v>138000</v>
      </c>
      <c r="O25" s="160" t="n">
        <f aca="false">Payroll!R40</f>
        <v>138000</v>
      </c>
      <c r="P25" s="160" t="n">
        <f aca="false">Payroll!S40</f>
        <v>151800</v>
      </c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0"/>
      <c r="B26" s="150" t="s">
        <v>90</v>
      </c>
      <c r="C26" s="151" t="n">
        <v>5000</v>
      </c>
      <c r="D26" s="151" t="n">
        <v>5000</v>
      </c>
      <c r="E26" s="151" t="n">
        <v>5000</v>
      </c>
      <c r="F26" s="151" t="n">
        <v>5000</v>
      </c>
      <c r="G26" s="151" t="n">
        <v>5000</v>
      </c>
      <c r="H26" s="151" t="n">
        <v>5000</v>
      </c>
      <c r="I26" s="151" t="n">
        <v>5000</v>
      </c>
      <c r="J26" s="151" t="n">
        <v>5000</v>
      </c>
      <c r="K26" s="151" t="n">
        <v>5000</v>
      </c>
      <c r="L26" s="151" t="n">
        <v>5000</v>
      </c>
      <c r="M26" s="151" t="n">
        <v>5000</v>
      </c>
      <c r="N26" s="151" t="n">
        <v>5000</v>
      </c>
      <c r="O26" s="151" t="n">
        <v>5000</v>
      </c>
      <c r="P26" s="151" t="n">
        <v>5000</v>
      </c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0"/>
      <c r="B27" s="150" t="s">
        <v>91</v>
      </c>
      <c r="C27" s="151" t="n">
        <v>5000</v>
      </c>
      <c r="D27" s="151" t="n">
        <v>5000</v>
      </c>
      <c r="E27" s="151" t="n">
        <v>5000</v>
      </c>
      <c r="F27" s="151" t="n">
        <v>5000</v>
      </c>
      <c r="G27" s="151" t="n">
        <v>5000</v>
      </c>
      <c r="H27" s="151" t="n">
        <v>5000</v>
      </c>
      <c r="I27" s="151" t="n">
        <v>5000</v>
      </c>
      <c r="J27" s="151" t="n">
        <v>5000</v>
      </c>
      <c r="K27" s="151" t="n">
        <v>5000</v>
      </c>
      <c r="L27" s="151" t="n">
        <v>5000</v>
      </c>
      <c r="M27" s="151" t="n">
        <v>5000</v>
      </c>
      <c r="N27" s="151" t="n">
        <v>5000</v>
      </c>
      <c r="O27" s="151" t="n">
        <v>5000</v>
      </c>
      <c r="P27" s="151" t="n">
        <v>5000</v>
      </c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0"/>
      <c r="B28" s="150" t="s">
        <v>92</v>
      </c>
      <c r="C28" s="151" t="n">
        <v>2000</v>
      </c>
      <c r="D28" s="151" t="n">
        <v>2000</v>
      </c>
      <c r="E28" s="151" t="n">
        <v>2000</v>
      </c>
      <c r="F28" s="151" t="n">
        <v>2000</v>
      </c>
      <c r="G28" s="151" t="n">
        <v>2000</v>
      </c>
      <c r="H28" s="151" t="n">
        <v>2000</v>
      </c>
      <c r="I28" s="151" t="n">
        <v>2000</v>
      </c>
      <c r="J28" s="151" t="n">
        <v>2000</v>
      </c>
      <c r="K28" s="151" t="n">
        <v>2000</v>
      </c>
      <c r="L28" s="151" t="n">
        <v>2000</v>
      </c>
      <c r="M28" s="151" t="n">
        <v>2000</v>
      </c>
      <c r="N28" s="151" t="n">
        <v>2000</v>
      </c>
      <c r="O28" s="151" t="n">
        <v>2000</v>
      </c>
      <c r="P28" s="151" t="n">
        <v>2000</v>
      </c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75" hidden="false" customHeight="false" outlineLevel="0" collapsed="false">
      <c r="A29" s="0"/>
      <c r="B29" s="161" t="s">
        <v>15</v>
      </c>
      <c r="C29" s="155" t="n">
        <f aca="false">SUM(C25:C28)</f>
        <v>12000</v>
      </c>
      <c r="D29" s="155" t="n">
        <f aca="false">SUM(D25:D28)</f>
        <v>115500</v>
      </c>
      <c r="E29" s="155" t="n">
        <f aca="false">SUM(E25:E28)</f>
        <v>115500</v>
      </c>
      <c r="F29" s="155" t="n">
        <f aca="false">SUM(F25:F28)</f>
        <v>115500</v>
      </c>
      <c r="G29" s="155" t="n">
        <f aca="false">SUM(G25:G28)</f>
        <v>115500</v>
      </c>
      <c r="H29" s="155" t="n">
        <f aca="false">SUM(H25:H28)</f>
        <v>115500</v>
      </c>
      <c r="I29" s="155" t="n">
        <f aca="false">SUM(I25:I28)</f>
        <v>115500</v>
      </c>
      <c r="J29" s="155" t="n">
        <f aca="false">SUM(J25:J28)</f>
        <v>150000</v>
      </c>
      <c r="K29" s="155" t="n">
        <f aca="false">SUM(K25:K28)</f>
        <v>150000</v>
      </c>
      <c r="L29" s="155" t="n">
        <f aca="false">SUM(L25:L28)</f>
        <v>150000</v>
      </c>
      <c r="M29" s="155" t="n">
        <f aca="false">SUM(M25:M28)</f>
        <v>150000</v>
      </c>
      <c r="N29" s="155" t="n">
        <f aca="false">SUM(N25:N28)</f>
        <v>150000</v>
      </c>
      <c r="O29" s="155" t="n">
        <f aca="false">SUM(O25:O28)</f>
        <v>150000</v>
      </c>
      <c r="P29" s="155" t="n">
        <f aca="false">SUM(P25:P28)</f>
        <v>163800</v>
      </c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0"/>
      <c r="B30" s="150"/>
      <c r="C30" s="162"/>
      <c r="D30" s="160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false" outlineLevel="0" collapsed="false">
      <c r="A31" s="0"/>
      <c r="B31" s="159" t="s">
        <v>93</v>
      </c>
      <c r="C31" s="0"/>
      <c r="D31" s="160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false" outlineLevel="0" collapsed="false">
      <c r="A32" s="0"/>
      <c r="B32" s="150" t="s">
        <v>94</v>
      </c>
      <c r="C32" s="0"/>
      <c r="D32" s="147" t="n">
        <f aca="false">Payroll!G38</f>
        <v>34500</v>
      </c>
      <c r="E32" s="147" t="n">
        <f aca="false">Payroll!H38</f>
        <v>69000</v>
      </c>
      <c r="F32" s="147" t="n">
        <f aca="false">Payroll!I38</f>
        <v>69000</v>
      </c>
      <c r="G32" s="147" t="n">
        <f aca="false">Payroll!J38</f>
        <v>69000</v>
      </c>
      <c r="H32" s="147" t="n">
        <f aca="false">Payroll!K38</f>
        <v>69000</v>
      </c>
      <c r="I32" s="147" t="n">
        <f aca="false">Payroll!L38</f>
        <v>69000</v>
      </c>
      <c r="J32" s="147" t="n">
        <f aca="false">Payroll!M38</f>
        <v>138000</v>
      </c>
      <c r="K32" s="147" t="n">
        <f aca="false">Payroll!N38</f>
        <v>138000</v>
      </c>
      <c r="L32" s="147" t="n">
        <f aca="false">Payroll!O38</f>
        <v>172500</v>
      </c>
      <c r="M32" s="147" t="n">
        <f aca="false">Payroll!P38</f>
        <v>172500</v>
      </c>
      <c r="N32" s="147" t="n">
        <f aca="false">Payroll!Q38</f>
        <v>172500</v>
      </c>
      <c r="O32" s="147" t="n">
        <f aca="false">Payroll!R38</f>
        <v>172500</v>
      </c>
      <c r="P32" s="147" t="n">
        <f aca="false">Payroll!S38</f>
        <v>341550</v>
      </c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false" outlineLevel="0" collapsed="false">
      <c r="A33" s="0"/>
      <c r="B33" s="150" t="s">
        <v>95</v>
      </c>
      <c r="C33" s="0"/>
      <c r="D33" s="147" t="n">
        <f aca="false">Payroll!G39</f>
        <v>0</v>
      </c>
      <c r="E33" s="147" t="n">
        <f aca="false">Payroll!H39</f>
        <v>0</v>
      </c>
      <c r="F33" s="147" t="n">
        <f aca="false">Payroll!I39</f>
        <v>18000</v>
      </c>
      <c r="G33" s="147" t="n">
        <f aca="false">Payroll!J39</f>
        <v>18000</v>
      </c>
      <c r="H33" s="147" t="n">
        <f aca="false">Payroll!K39</f>
        <v>18000</v>
      </c>
      <c r="I33" s="147" t="n">
        <f aca="false">Payroll!L39</f>
        <v>18000</v>
      </c>
      <c r="J33" s="147" t="n">
        <f aca="false">Payroll!M39</f>
        <v>18000</v>
      </c>
      <c r="K33" s="147" t="n">
        <f aca="false">Payroll!N39</f>
        <v>18000</v>
      </c>
      <c r="L33" s="147" t="n">
        <f aca="false">Payroll!O39</f>
        <v>18000</v>
      </c>
      <c r="M33" s="147" t="n">
        <f aca="false">Payroll!P39</f>
        <v>18000</v>
      </c>
      <c r="N33" s="147" t="n">
        <f aca="false">Payroll!Q39</f>
        <v>18000</v>
      </c>
      <c r="O33" s="147" t="n">
        <f aca="false">Payroll!R39</f>
        <v>18000</v>
      </c>
      <c r="P33" s="147" t="n">
        <f aca="false">Payroll!S39</f>
        <v>19800</v>
      </c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0"/>
      <c r="B34" s="150" t="s">
        <v>96</v>
      </c>
      <c r="C34" s="149"/>
      <c r="D34" s="147" t="n">
        <v>0</v>
      </c>
      <c r="E34" s="147" t="n">
        <f aca="false">3000*8</f>
        <v>24000</v>
      </c>
      <c r="F34" s="147" t="n">
        <f aca="false">3000*8</f>
        <v>24000</v>
      </c>
      <c r="G34" s="147" t="n">
        <f aca="false">3000*8</f>
        <v>24000</v>
      </c>
      <c r="H34" s="147" t="n">
        <f aca="false">3000*8</f>
        <v>24000</v>
      </c>
      <c r="I34" s="147" t="n">
        <f aca="false">3000*8</f>
        <v>24000</v>
      </c>
      <c r="J34" s="147" t="n">
        <f aca="false">3000*8*4</f>
        <v>96000</v>
      </c>
      <c r="K34" s="147" t="n">
        <f aca="false">3000*8*4</f>
        <v>96000</v>
      </c>
      <c r="L34" s="147" t="n">
        <f aca="false">3000*8*4</f>
        <v>96000</v>
      </c>
      <c r="M34" s="147" t="n">
        <f aca="false">3000*8*4</f>
        <v>96000</v>
      </c>
      <c r="N34" s="147" t="n">
        <f aca="false">3000*8*4</f>
        <v>96000</v>
      </c>
      <c r="O34" s="147" t="n">
        <f aca="false">3000*8*4</f>
        <v>96000</v>
      </c>
      <c r="P34" s="147" t="n">
        <f aca="false">3000*8*4</f>
        <v>96000</v>
      </c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0"/>
      <c r="B35" s="150" t="s">
        <v>97</v>
      </c>
      <c r="C35" s="149"/>
      <c r="D35" s="147" t="n">
        <f aca="false">2000*8</f>
        <v>16000</v>
      </c>
      <c r="E35" s="160" t="n">
        <f aca="false">2000*8</f>
        <v>16000</v>
      </c>
      <c r="F35" s="160" t="n">
        <f aca="false">2000*8</f>
        <v>16000</v>
      </c>
      <c r="G35" s="160" t="n">
        <f aca="false">2000*8</f>
        <v>16000</v>
      </c>
      <c r="H35" s="160" t="n">
        <f aca="false">2000*8</f>
        <v>16000</v>
      </c>
      <c r="I35" s="160" t="n">
        <f aca="false">2000*8</f>
        <v>16000</v>
      </c>
      <c r="J35" s="160" t="n">
        <f aca="false">2000*8*4</f>
        <v>64000</v>
      </c>
      <c r="K35" s="160" t="n">
        <f aca="false">2000*8*4</f>
        <v>64000</v>
      </c>
      <c r="L35" s="160" t="n">
        <f aca="false">2000*8*4</f>
        <v>64000</v>
      </c>
      <c r="M35" s="160" t="n">
        <f aca="false">2000*8*4</f>
        <v>64000</v>
      </c>
      <c r="N35" s="160" t="n">
        <f aca="false">2000*8*4</f>
        <v>64000</v>
      </c>
      <c r="O35" s="160" t="n">
        <f aca="false">2000*8*4</f>
        <v>64000</v>
      </c>
      <c r="P35" s="160" t="n">
        <f aca="false">2000*8*4</f>
        <v>64000</v>
      </c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0"/>
      <c r="B36" s="150" t="s">
        <v>98</v>
      </c>
      <c r="C36" s="163"/>
      <c r="D36" s="147" t="n">
        <v>0</v>
      </c>
      <c r="E36" s="147" t="n">
        <v>0</v>
      </c>
      <c r="F36" s="147" t="n">
        <v>0</v>
      </c>
      <c r="G36" s="147" t="n">
        <v>50000</v>
      </c>
      <c r="H36" s="147" t="n">
        <v>75000</v>
      </c>
      <c r="I36" s="147" t="n">
        <v>75000</v>
      </c>
      <c r="J36" s="147" t="n">
        <v>75000</v>
      </c>
      <c r="K36" s="147" t="n">
        <v>75000</v>
      </c>
      <c r="L36" s="147" t="n">
        <v>75000</v>
      </c>
      <c r="M36" s="147" t="n">
        <v>75000</v>
      </c>
      <c r="N36" s="147" t="n">
        <v>75000</v>
      </c>
      <c r="O36" s="147" t="n">
        <v>75000</v>
      </c>
      <c r="P36" s="147" t="n">
        <v>75000</v>
      </c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146" customFormat="true" ht="15.75" hidden="false" customHeight="false" outlineLevel="0" collapsed="false">
      <c r="B37" s="161" t="s">
        <v>99</v>
      </c>
      <c r="C37" s="155"/>
      <c r="D37" s="156" t="n">
        <f aca="false">SUM(D32:D36)</f>
        <v>50500</v>
      </c>
      <c r="E37" s="156" t="n">
        <f aca="false">SUM(E32:E36)</f>
        <v>109000</v>
      </c>
      <c r="F37" s="156" t="n">
        <f aca="false">SUM(F32:F36)</f>
        <v>127000</v>
      </c>
      <c r="G37" s="156" t="n">
        <f aca="false">SUM(G32:G36)</f>
        <v>177000</v>
      </c>
      <c r="H37" s="156" t="n">
        <f aca="false">SUM(H32:H36)</f>
        <v>202000</v>
      </c>
      <c r="I37" s="156" t="n">
        <f aca="false">SUM(I32:I36)</f>
        <v>202000</v>
      </c>
      <c r="J37" s="156" t="n">
        <f aca="false">SUM(J32:J36)</f>
        <v>391000</v>
      </c>
      <c r="K37" s="156" t="n">
        <f aca="false">SUM(K32:K36)</f>
        <v>391000</v>
      </c>
      <c r="L37" s="156" t="n">
        <f aca="false">SUM(L32:L36)</f>
        <v>425500</v>
      </c>
      <c r="M37" s="156" t="n">
        <f aca="false">SUM(M32:M36)</f>
        <v>425500</v>
      </c>
      <c r="N37" s="156" t="n">
        <f aca="false">SUM(N32:N36)</f>
        <v>425500</v>
      </c>
      <c r="O37" s="156" t="n">
        <f aca="false">SUM(O32:O36)</f>
        <v>425500</v>
      </c>
      <c r="P37" s="156" t="n">
        <f aca="false">SUM(P32:P36)</f>
        <v>596350</v>
      </c>
    </row>
    <row r="38" customFormat="false" ht="15" hidden="false" customHeight="false" outlineLevel="0" collapsed="false">
      <c r="B38" s="0"/>
      <c r="C38" s="150"/>
      <c r="D38" s="147"/>
      <c r="E38" s="160"/>
      <c r="F38" s="160"/>
      <c r="G38" s="147"/>
      <c r="H38" s="147"/>
      <c r="I38" s="147"/>
      <c r="J38" s="147"/>
      <c r="K38" s="147"/>
      <c r="L38" s="147"/>
      <c r="M38" s="147"/>
      <c r="N38" s="147"/>
      <c r="O38" s="147"/>
      <c r="P38" s="147"/>
    </row>
    <row r="39" customFormat="false" ht="15" hidden="false" customHeight="false" outlineLevel="0" collapsed="false">
      <c r="B39" s="159" t="s">
        <v>100</v>
      </c>
      <c r="C39" s="0"/>
      <c r="D39" s="147"/>
      <c r="E39" s="160"/>
      <c r="F39" s="160"/>
      <c r="G39" s="147"/>
      <c r="H39" s="147"/>
      <c r="I39" s="147"/>
      <c r="J39" s="147"/>
      <c r="K39" s="147"/>
      <c r="L39" s="147"/>
      <c r="M39" s="147"/>
      <c r="N39" s="147"/>
      <c r="O39" s="147"/>
      <c r="P39" s="147"/>
    </row>
    <row r="40" customFormat="false" ht="15" hidden="false" customHeight="false" outlineLevel="0" collapsed="false">
      <c r="B40" s="148" t="s">
        <v>77</v>
      </c>
      <c r="C40" s="164"/>
      <c r="D40" s="147" t="n">
        <f aca="false">Payroll!G41</f>
        <v>9500</v>
      </c>
      <c r="E40" s="147" t="n">
        <f aca="false">Payroll!H41</f>
        <v>9500</v>
      </c>
      <c r="F40" s="147" t="n">
        <f aca="false">Payroll!I41</f>
        <v>9500</v>
      </c>
      <c r="G40" s="147" t="n">
        <f aca="false">Payroll!J41</f>
        <v>9500</v>
      </c>
      <c r="H40" s="147" t="n">
        <f aca="false">Payroll!K41</f>
        <v>9500</v>
      </c>
      <c r="I40" s="147" t="n">
        <f aca="false">Payroll!L41</f>
        <v>9500</v>
      </c>
      <c r="J40" s="147" t="n">
        <f aca="false">Payroll!M41</f>
        <v>74075</v>
      </c>
      <c r="K40" s="147" t="n">
        <f aca="false">Payroll!N41</f>
        <v>74075</v>
      </c>
      <c r="L40" s="147" t="n">
        <f aca="false">Payroll!O41</f>
        <v>74075</v>
      </c>
      <c r="M40" s="147" t="n">
        <f aca="false">Payroll!P41</f>
        <v>74075</v>
      </c>
      <c r="N40" s="147" t="n">
        <f aca="false">Payroll!Q41</f>
        <v>74075</v>
      </c>
      <c r="O40" s="147" t="n">
        <f aca="false">Payroll!R41</f>
        <v>74075</v>
      </c>
      <c r="P40" s="147" t="n">
        <f aca="false">Payroll!S41</f>
        <v>81483</v>
      </c>
    </row>
    <row r="41" customFormat="false" ht="15" hidden="false" customHeight="false" outlineLevel="0" collapsed="false">
      <c r="B41" s="150" t="s">
        <v>101</v>
      </c>
      <c r="C41" s="164"/>
      <c r="D41" s="147" t="n">
        <v>25000</v>
      </c>
      <c r="E41" s="147" t="n">
        <v>0</v>
      </c>
      <c r="F41" s="147" t="n">
        <v>0</v>
      </c>
      <c r="G41" s="147" t="n">
        <v>0</v>
      </c>
      <c r="H41" s="147" t="n">
        <v>0</v>
      </c>
      <c r="I41" s="147" t="n">
        <v>25000</v>
      </c>
      <c r="J41" s="147" t="n">
        <v>0</v>
      </c>
      <c r="K41" s="147" t="n">
        <v>0</v>
      </c>
      <c r="L41" s="147" t="n">
        <v>0</v>
      </c>
      <c r="M41" s="147" t="n">
        <v>50000</v>
      </c>
      <c r="N41" s="147" t="n">
        <v>0</v>
      </c>
      <c r="O41" s="147" t="n">
        <v>0</v>
      </c>
      <c r="P41" s="147" t="n">
        <v>0</v>
      </c>
    </row>
    <row r="42" customFormat="false" ht="15" hidden="false" customHeight="false" outlineLevel="0" collapsed="false">
      <c r="B42" s="150" t="s">
        <v>102</v>
      </c>
      <c r="C42" s="164" t="n">
        <v>2500</v>
      </c>
      <c r="D42" s="147" t="n">
        <v>0</v>
      </c>
      <c r="E42" s="147" t="n">
        <v>0</v>
      </c>
      <c r="F42" s="147" t="n">
        <v>0</v>
      </c>
      <c r="G42" s="147" t="n">
        <v>0</v>
      </c>
      <c r="H42" s="147" t="n">
        <v>0</v>
      </c>
      <c r="I42" s="147" t="n">
        <v>0</v>
      </c>
      <c r="J42" s="147" t="n">
        <f aca="false">$C$42*Payroll!M23</f>
        <v>35000</v>
      </c>
      <c r="K42" s="147" t="n">
        <f aca="false">$C$42*Payroll!N23</f>
        <v>35000</v>
      </c>
      <c r="L42" s="147" t="n">
        <f aca="false">$C$42*Payroll!O23</f>
        <v>40000</v>
      </c>
      <c r="M42" s="147" t="n">
        <f aca="false">$C$42*Payroll!P23</f>
        <v>40000</v>
      </c>
      <c r="N42" s="147" t="n">
        <f aca="false">$C$42*Payroll!Q23</f>
        <v>42500</v>
      </c>
      <c r="O42" s="147" t="n">
        <f aca="false">$C$42*Payroll!R23</f>
        <v>42500</v>
      </c>
      <c r="P42" s="147" t="n">
        <f aca="false">$C$42*Payroll!S23</f>
        <v>55000</v>
      </c>
    </row>
    <row r="43" customFormat="false" ht="15" hidden="false" customHeight="false" outlineLevel="0" collapsed="false">
      <c r="B43" s="150" t="s">
        <v>103</v>
      </c>
      <c r="C43" s="164"/>
      <c r="D43" s="147" t="n">
        <v>0</v>
      </c>
      <c r="E43" s="147" t="n">
        <v>0</v>
      </c>
      <c r="F43" s="147" t="n">
        <v>0</v>
      </c>
      <c r="G43" s="147" t="n">
        <v>0</v>
      </c>
      <c r="H43" s="147" t="n">
        <v>0</v>
      </c>
      <c r="I43" s="147" t="n">
        <v>0</v>
      </c>
      <c r="J43" s="147" t="n">
        <v>1500</v>
      </c>
      <c r="K43" s="147" t="n">
        <v>3000</v>
      </c>
      <c r="L43" s="147" t="n">
        <v>3000</v>
      </c>
      <c r="M43" s="147" t="n">
        <v>3000</v>
      </c>
      <c r="N43" s="147" t="n">
        <v>3000</v>
      </c>
      <c r="O43" s="147" t="n">
        <v>3000</v>
      </c>
      <c r="P43" s="147" t="n">
        <v>3000</v>
      </c>
    </row>
    <row r="44" customFormat="false" ht="15" hidden="false" customHeight="false" outlineLevel="0" collapsed="false">
      <c r="B44" s="150" t="s">
        <v>104</v>
      </c>
      <c r="C44" s="164"/>
      <c r="D44" s="147" t="n">
        <v>1500</v>
      </c>
      <c r="E44" s="147" t="n">
        <v>1500</v>
      </c>
      <c r="F44" s="147" t="n">
        <v>1500</v>
      </c>
      <c r="G44" s="147" t="n">
        <v>1500</v>
      </c>
      <c r="H44" s="147" t="n">
        <v>1500</v>
      </c>
      <c r="I44" s="147" t="n">
        <v>1500</v>
      </c>
      <c r="J44" s="147" t="n">
        <v>1500</v>
      </c>
      <c r="K44" s="147" t="n">
        <v>1500</v>
      </c>
      <c r="L44" s="147" t="n">
        <v>1500</v>
      </c>
      <c r="M44" s="147" t="n">
        <v>1500</v>
      </c>
      <c r="N44" s="147" t="n">
        <v>1500</v>
      </c>
      <c r="O44" s="147" t="n">
        <v>1500</v>
      </c>
      <c r="P44" s="147" t="n">
        <v>1500</v>
      </c>
    </row>
    <row r="45" customFormat="false" ht="15" hidden="false" customHeight="false" outlineLevel="0" collapsed="false">
      <c r="B45" s="150" t="s">
        <v>105</v>
      </c>
      <c r="C45" s="164"/>
      <c r="D45" s="147" t="n">
        <v>0</v>
      </c>
      <c r="E45" s="147" t="n">
        <v>0</v>
      </c>
      <c r="F45" s="147" t="n">
        <v>0</v>
      </c>
      <c r="G45" s="147" t="n">
        <v>0</v>
      </c>
      <c r="H45" s="147" t="n">
        <v>0</v>
      </c>
      <c r="I45" s="147" t="n">
        <v>0</v>
      </c>
      <c r="J45" s="147" t="n">
        <v>1500</v>
      </c>
      <c r="K45" s="147" t="n">
        <v>1500</v>
      </c>
      <c r="L45" s="147" t="n">
        <v>1500</v>
      </c>
      <c r="M45" s="147" t="n">
        <v>1500</v>
      </c>
      <c r="N45" s="147" t="n">
        <v>1500</v>
      </c>
      <c r="O45" s="147" t="n">
        <v>1500</v>
      </c>
      <c r="P45" s="147" t="n">
        <v>1500</v>
      </c>
    </row>
    <row r="46" customFormat="false" ht="15" hidden="false" customHeight="false" outlineLevel="0" collapsed="false">
      <c r="B46" s="150" t="s">
        <v>106</v>
      </c>
      <c r="C46" s="164"/>
      <c r="D46" s="147" t="n">
        <v>5000</v>
      </c>
      <c r="E46" s="147" t="n">
        <v>5000</v>
      </c>
      <c r="F46" s="147" t="n">
        <v>5000</v>
      </c>
      <c r="G46" s="147" t="n">
        <v>5000</v>
      </c>
      <c r="H46" s="147" t="n">
        <v>7500</v>
      </c>
      <c r="I46" s="147" t="n">
        <v>7500</v>
      </c>
      <c r="J46" s="147" t="n">
        <v>7500</v>
      </c>
      <c r="K46" s="147" t="n">
        <v>7500</v>
      </c>
      <c r="L46" s="147" t="n">
        <v>7500</v>
      </c>
      <c r="M46" s="147" t="n">
        <v>7500</v>
      </c>
      <c r="N46" s="147" t="n">
        <v>10000</v>
      </c>
      <c r="O46" s="147" t="n">
        <v>10000</v>
      </c>
      <c r="P46" s="147" t="n">
        <v>10000</v>
      </c>
    </row>
    <row r="47" customFormat="false" ht="15.75" hidden="false" customHeight="false" outlineLevel="0" collapsed="false">
      <c r="B47" s="158" t="s">
        <v>15</v>
      </c>
      <c r="C47" s="165"/>
      <c r="D47" s="156" t="n">
        <f aca="false">SUM(D40:D46)</f>
        <v>41000</v>
      </c>
      <c r="E47" s="156" t="n">
        <f aca="false">SUM(E40:E46)</f>
        <v>16000</v>
      </c>
      <c r="F47" s="156" t="n">
        <f aca="false">SUM(F40:F46)</f>
        <v>16000</v>
      </c>
      <c r="G47" s="156" t="n">
        <f aca="false">SUM(G40:G46)</f>
        <v>16000</v>
      </c>
      <c r="H47" s="156" t="n">
        <f aca="false">SUM(H40:H46)</f>
        <v>18500</v>
      </c>
      <c r="I47" s="156" t="n">
        <f aca="false">SUM(I40:I46)</f>
        <v>43500</v>
      </c>
      <c r="J47" s="156" t="n">
        <f aca="false">SUM(J40:J46)</f>
        <v>121075</v>
      </c>
      <c r="K47" s="156" t="n">
        <f aca="false">SUM(K40:K46)</f>
        <v>122575</v>
      </c>
      <c r="L47" s="156" t="n">
        <f aca="false">SUM(L40:L46)</f>
        <v>127575</v>
      </c>
      <c r="M47" s="156" t="n">
        <f aca="false">SUM(M40:M46)</f>
        <v>177575</v>
      </c>
      <c r="N47" s="156" t="n">
        <f aca="false">SUM(N40:N46)</f>
        <v>132575</v>
      </c>
      <c r="O47" s="156" t="n">
        <f aca="false">SUM(O40:O46)</f>
        <v>132575</v>
      </c>
      <c r="P47" s="156" t="n">
        <f aca="false">SUM(P40:P46)</f>
        <v>152483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4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M11" activeCellId="0" sqref="M11"/>
    </sheetView>
  </sheetViews>
  <sheetFormatPr defaultRowHeight="15"/>
  <cols>
    <col collapsed="false" hidden="false" max="1" min="1" style="166" width="4.02834008097166"/>
    <col collapsed="false" hidden="false" max="2" min="2" style="166" width="25.6234817813765"/>
    <col collapsed="false" hidden="false" max="3" min="3" style="166" width="10.5425101214575"/>
    <col collapsed="false" hidden="false" max="4" min="4" style="166" width="13.0242914979757"/>
    <col collapsed="false" hidden="false" max="5" min="5" style="166" width="11.9959514170041"/>
    <col collapsed="false" hidden="false" max="6" min="6" style="166" width="6.68421052631579"/>
    <col collapsed="false" hidden="false" max="18" min="7" style="166" width="11.5708502024291"/>
    <col collapsed="false" hidden="true" max="19" min="19" style="166" width="0"/>
    <col collapsed="false" hidden="false" max="1025" min="20" style="166" width="9.85425101214575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44" customFormat="true" ht="15" hidden="false" customHeight="false" outlineLevel="0" collapsed="false">
      <c r="B2" s="144" t="s">
        <v>107</v>
      </c>
      <c r="G2" s="145" t="n">
        <f aca="false">PL!D5</f>
        <v>10</v>
      </c>
      <c r="H2" s="145" t="n">
        <f aca="false">PL!E5</f>
        <v>30</v>
      </c>
      <c r="I2" s="145" t="n">
        <f aca="false">PL!F5</f>
        <v>50</v>
      </c>
      <c r="J2" s="145" t="n">
        <f aca="false">PL!G5</f>
        <v>80</v>
      </c>
      <c r="K2" s="145" t="n">
        <f aca="false">PL!H5</f>
        <v>120</v>
      </c>
      <c r="L2" s="145" t="n">
        <f aca="false">PL!I5</f>
        <v>180</v>
      </c>
      <c r="M2" s="145" t="n">
        <f aca="false">PL!J5</f>
        <v>280</v>
      </c>
      <c r="N2" s="145" t="n">
        <f aca="false">PL!K5</f>
        <v>400</v>
      </c>
      <c r="O2" s="145" t="n">
        <f aca="false">PL!L5</f>
        <v>550</v>
      </c>
      <c r="P2" s="145" t="n">
        <f aca="false">PL!M5</f>
        <v>700</v>
      </c>
      <c r="Q2" s="145" t="n">
        <f aca="false">PL!N5</f>
        <v>850</v>
      </c>
      <c r="R2" s="145" t="n">
        <f aca="false">PL!O5</f>
        <v>1000</v>
      </c>
      <c r="S2" s="145" t="n">
        <f aca="false">PL!P5</f>
        <v>1250</v>
      </c>
    </row>
    <row r="3" s="144" customFormat="true" ht="15" hidden="false" customHeight="false" outlineLevel="0" collapsed="false">
      <c r="B3" s="144" t="s">
        <v>108</v>
      </c>
      <c r="G3" s="145" t="n">
        <v>0</v>
      </c>
      <c r="H3" s="145" t="n">
        <f aca="false">H2-G2</f>
        <v>20</v>
      </c>
      <c r="I3" s="145" t="n">
        <f aca="false">I2-H2</f>
        <v>20</v>
      </c>
      <c r="J3" s="145" t="n">
        <f aca="false">J2-I2</f>
        <v>30</v>
      </c>
      <c r="K3" s="145" t="n">
        <f aca="false">K2-J2</f>
        <v>40</v>
      </c>
      <c r="L3" s="145" t="n">
        <f aca="false">L2-K2</f>
        <v>60</v>
      </c>
      <c r="M3" s="145" t="n">
        <f aca="false">M2-L2</f>
        <v>100</v>
      </c>
      <c r="N3" s="145" t="n">
        <f aca="false">N2-M2</f>
        <v>120</v>
      </c>
      <c r="O3" s="145" t="n">
        <f aca="false">O2-N2</f>
        <v>150</v>
      </c>
      <c r="P3" s="145" t="n">
        <f aca="false">P2-O2</f>
        <v>150</v>
      </c>
      <c r="Q3" s="145" t="n">
        <f aca="false">Q2-P2</f>
        <v>150</v>
      </c>
      <c r="R3" s="145" t="n">
        <f aca="false">R2-Q2</f>
        <v>150</v>
      </c>
      <c r="S3" s="145" t="n">
        <f aca="false">S2-R2</f>
        <v>250</v>
      </c>
    </row>
    <row r="4" customFormat="false" ht="36" hidden="false" customHeight="false" outlineLevel="0" collapsed="false">
      <c r="B4" s="167" t="s">
        <v>74</v>
      </c>
      <c r="C4" s="168" t="s">
        <v>109</v>
      </c>
      <c r="D4" s="169" t="s">
        <v>110</v>
      </c>
      <c r="E4" s="170" t="s">
        <v>111</v>
      </c>
      <c r="F4" s="169" t="s">
        <v>112</v>
      </c>
      <c r="G4" s="109" t="s">
        <v>45</v>
      </c>
      <c r="H4" s="109" t="s">
        <v>46</v>
      </c>
      <c r="I4" s="109" t="s">
        <v>47</v>
      </c>
      <c r="J4" s="109" t="s">
        <v>48</v>
      </c>
      <c r="K4" s="109" t="s">
        <v>49</v>
      </c>
      <c r="L4" s="109" t="s">
        <v>50</v>
      </c>
      <c r="M4" s="109" t="s">
        <v>51</v>
      </c>
      <c r="N4" s="109" t="s">
        <v>52</v>
      </c>
      <c r="O4" s="109" t="s">
        <v>53</v>
      </c>
      <c r="P4" s="109" t="s">
        <v>54</v>
      </c>
      <c r="Q4" s="109" t="s">
        <v>55</v>
      </c>
      <c r="R4" s="109" t="s">
        <v>56</v>
      </c>
      <c r="S4" s="109" t="s">
        <v>57</v>
      </c>
    </row>
    <row r="5" customFormat="false" ht="15" hidden="false" customHeight="false" outlineLevel="0" collapsed="false">
      <c r="B5" s="166" t="s">
        <v>113</v>
      </c>
      <c r="C5" s="166" t="s">
        <v>114</v>
      </c>
      <c r="D5" s="147" t="n">
        <f aca="false">13000+36000/24</f>
        <v>14500</v>
      </c>
      <c r="E5" s="147" t="n">
        <f aca="false">ROUND(D5*1.1,0)</f>
        <v>15950</v>
      </c>
      <c r="F5" s="147" t="n">
        <v>250</v>
      </c>
      <c r="G5" s="166" t="n">
        <v>1</v>
      </c>
      <c r="H5" s="166" t="n">
        <v>1</v>
      </c>
      <c r="I5" s="166" t="n">
        <f aca="false">ROUNDUP(I2/$F$5,0)</f>
        <v>1</v>
      </c>
      <c r="J5" s="166" t="n">
        <f aca="false">ROUNDUP(J2/$F$5,0)</f>
        <v>1</v>
      </c>
      <c r="K5" s="166" t="n">
        <f aca="false">ROUNDUP(K2/$F$5,0)</f>
        <v>1</v>
      </c>
      <c r="L5" s="166" t="n">
        <f aca="false">ROUNDUP(L2/$F$5,0)</f>
        <v>1</v>
      </c>
      <c r="M5" s="166" t="n">
        <f aca="false">ROUNDUP(M2/$F$5,0)+1</f>
        <v>3</v>
      </c>
      <c r="N5" s="166" t="n">
        <f aca="false">ROUNDUP(N2/$F$5,0)+1</f>
        <v>3</v>
      </c>
      <c r="O5" s="166" t="n">
        <f aca="false">ROUNDUP(O2/$F$5,0)+1</f>
        <v>4</v>
      </c>
      <c r="P5" s="166" t="n">
        <f aca="false">ROUNDUP(P2/$F$5,0)+1</f>
        <v>4</v>
      </c>
      <c r="Q5" s="166" t="n">
        <f aca="false">ROUNDUP(Q2/$F$5,0)+1</f>
        <v>5</v>
      </c>
      <c r="R5" s="166" t="n">
        <f aca="false">ROUNDUP(R2/$F$5,0)+1</f>
        <v>5</v>
      </c>
      <c r="S5" s="166" t="n">
        <f aca="false">ROUNDUP(S2/$F$5,0)+1</f>
        <v>6</v>
      </c>
    </row>
    <row r="6" customFormat="false" ht="15" hidden="false" customHeight="false" outlineLevel="0" collapsed="false">
      <c r="B6" s="166" t="s">
        <v>115</v>
      </c>
      <c r="C6" s="166" t="s">
        <v>114</v>
      </c>
      <c r="D6" s="147" t="n">
        <f aca="false">33000+36000/24</f>
        <v>34500</v>
      </c>
      <c r="E6" s="147" t="n">
        <f aca="false">ROUND(D6*1.1,0)</f>
        <v>37950</v>
      </c>
      <c r="F6" s="147" t="n">
        <v>15</v>
      </c>
      <c r="G6" s="171" t="n">
        <f aca="false">IF((G5+G7)&gt;$F$6,ROUNDDOWN((G5+G7)/$F$6,0),0)</f>
        <v>0</v>
      </c>
      <c r="H6" s="171" t="n">
        <f aca="false">IF((H5+H7)&gt;$F$6,ROUNDDOWN((H5+H7)/$F$6,0),0)</f>
        <v>0</v>
      </c>
      <c r="I6" s="171" t="n">
        <f aca="false">IF((I5+I7)&gt;$F$6,ROUNDDOWN((I5+I7)/$F$6,0),0)</f>
        <v>0</v>
      </c>
      <c r="J6" s="171" t="n">
        <f aca="false">IF((J5+J7)&gt;$F$6,ROUNDDOWN((J5+J7)/$F$6,0),0)</f>
        <v>0</v>
      </c>
      <c r="K6" s="171" t="n">
        <f aca="false">IF((K5+K7)&gt;$F$6,ROUNDDOWN((K5+K7)/$F$6,0),0)</f>
        <v>0</v>
      </c>
      <c r="L6" s="171" t="n">
        <f aca="false">IF((L5+L7)&gt;$F$6,ROUNDDOWN((L5+L7)/$F$6,0),0)</f>
        <v>0</v>
      </c>
      <c r="M6" s="171" t="n">
        <f aca="false">IF((M5+M7)&gt;$F$6,ROUNDDOWN((M5+M7)/$F$6,0),0)</f>
        <v>0</v>
      </c>
      <c r="N6" s="171" t="n">
        <f aca="false">IF((N5+N7)&gt;$F$6,ROUNDDOWN((N5+N7)/$F$6,0),0)</f>
        <v>0</v>
      </c>
      <c r="O6" s="171" t="n">
        <f aca="false">IF((O5+O7)&gt;$F$6,ROUNDDOWN((O5+O7)/$F$6,0),0)</f>
        <v>0</v>
      </c>
      <c r="P6" s="171" t="n">
        <f aca="false">IF((P5+P7)&gt;$F$6,ROUNDDOWN((P5+P7)/$F$6,0),0)</f>
        <v>0</v>
      </c>
      <c r="Q6" s="171" t="n">
        <f aca="false">IF((Q5+Q7)&gt;$F$6,ROUNDDOWN((Q5+Q7)/$F$6,0),0)</f>
        <v>0</v>
      </c>
      <c r="R6" s="171" t="n">
        <f aca="false">IF((R5+R7)&gt;$F$6,ROUNDDOWN((R5+R7)/$F$6,0),0)</f>
        <v>0</v>
      </c>
      <c r="S6" s="171" t="n">
        <f aca="false">IF((S5+S7)&gt;$F$6,ROUNDDOWN((S5+S7)/$F$6,0),0)</f>
        <v>0</v>
      </c>
    </row>
    <row r="7" customFormat="false" ht="15" hidden="false" customHeight="false" outlineLevel="0" collapsed="false">
      <c r="B7" s="166" t="s">
        <v>116</v>
      </c>
      <c r="C7" s="166" t="s">
        <v>114</v>
      </c>
      <c r="D7" s="147" t="n">
        <f aca="false">11000+36000/24</f>
        <v>12500</v>
      </c>
      <c r="E7" s="147" t="n">
        <f aca="false">ROUND(D7*1.1,0)</f>
        <v>13750</v>
      </c>
      <c r="F7" s="147" t="n">
        <v>250</v>
      </c>
      <c r="G7" s="166" t="n">
        <f aca="false">ROUNDUP(G2/$F$7,0)</f>
        <v>1</v>
      </c>
      <c r="H7" s="166" t="n">
        <f aca="false">ROUNDUP(H2/$F$7,0)</f>
        <v>1</v>
      </c>
      <c r="I7" s="166" t="n">
        <f aca="false">ROUNDUP(I2/$F$7,0)</f>
        <v>1</v>
      </c>
      <c r="J7" s="166" t="n">
        <f aca="false">ROUNDUP(J2/$F$7,0)+1</f>
        <v>2</v>
      </c>
      <c r="K7" s="166" t="n">
        <f aca="false">ROUNDUP(K2/$F$7,0)+1</f>
        <v>2</v>
      </c>
      <c r="L7" s="166" t="n">
        <f aca="false">ROUNDUP(L2/$F$7,0)+1</f>
        <v>2</v>
      </c>
      <c r="M7" s="166" t="n">
        <f aca="false">ROUNDUP(M2/$F$7,0)</f>
        <v>2</v>
      </c>
      <c r="N7" s="166" t="n">
        <f aca="false">ROUNDUP(N2/$F$7,0)</f>
        <v>2</v>
      </c>
      <c r="O7" s="166" t="n">
        <f aca="false">ROUNDUP(O2/$F$7,0)</f>
        <v>3</v>
      </c>
      <c r="P7" s="166" t="n">
        <f aca="false">ROUNDUP(P2/$F$7,0)</f>
        <v>3</v>
      </c>
      <c r="Q7" s="166" t="n">
        <f aca="false">ROUNDUP(Q2/$F$7,0)</f>
        <v>4</v>
      </c>
      <c r="R7" s="166" t="n">
        <f aca="false">ROUNDUP(R2/$F$7,0)</f>
        <v>4</v>
      </c>
      <c r="S7" s="166" t="n">
        <f aca="false">ROUNDUP(S2/$F$7,0)</f>
        <v>5</v>
      </c>
    </row>
    <row r="8" customFormat="false" ht="15" hidden="false" customHeight="false" outlineLevel="0" collapsed="false">
      <c r="B8" s="166" t="s">
        <v>117</v>
      </c>
      <c r="C8" s="166" t="s">
        <v>118</v>
      </c>
      <c r="D8" s="147" t="n">
        <f aca="false">33000+36000/24</f>
        <v>34500</v>
      </c>
      <c r="E8" s="147" t="n">
        <f aca="false">ROUND(D8*1.1,0)</f>
        <v>37950</v>
      </c>
      <c r="F8" s="147"/>
      <c r="G8" s="166" t="n">
        <v>1</v>
      </c>
      <c r="H8" s="166" t="n">
        <v>2</v>
      </c>
      <c r="I8" s="166" t="n">
        <v>2</v>
      </c>
      <c r="J8" s="166" t="n">
        <v>2</v>
      </c>
      <c r="K8" s="166" t="n">
        <v>2</v>
      </c>
      <c r="L8" s="166" t="n">
        <v>2</v>
      </c>
      <c r="M8" s="172" t="n">
        <f aca="false">ROUNDUP(M3/30,0)</f>
        <v>4</v>
      </c>
      <c r="N8" s="172" t="n">
        <f aca="false">ROUNDUP(N3/30,0)</f>
        <v>4</v>
      </c>
      <c r="O8" s="172" t="n">
        <f aca="false">ROUNDUP(O3/30,0)</f>
        <v>5</v>
      </c>
      <c r="P8" s="172" t="n">
        <f aca="false">ROUNDUP(P3/30,0)</f>
        <v>5</v>
      </c>
      <c r="Q8" s="172" t="n">
        <f aca="false">ROUNDUP(Q3/30,0)</f>
        <v>5</v>
      </c>
      <c r="R8" s="172" t="n">
        <f aca="false">ROUNDUP(R3/30,0)</f>
        <v>5</v>
      </c>
      <c r="S8" s="172" t="n">
        <f aca="false">ROUNDUP(S3/30,0)</f>
        <v>9</v>
      </c>
    </row>
    <row r="9" customFormat="false" ht="15" hidden="false" customHeight="false" outlineLevel="0" collapsed="false">
      <c r="B9" s="166" t="s">
        <v>119</v>
      </c>
      <c r="C9" s="166" t="s">
        <v>120</v>
      </c>
      <c r="D9" s="147" t="n">
        <f aca="false">16500+36000/24</f>
        <v>18000</v>
      </c>
      <c r="E9" s="147" t="n">
        <f aca="false">ROUND(D9*1.1,0)</f>
        <v>19800</v>
      </c>
      <c r="F9" s="147"/>
      <c r="G9" s="166" t="n">
        <v>0</v>
      </c>
      <c r="H9" s="166" t="n">
        <v>0</v>
      </c>
      <c r="I9" s="166" t="n">
        <v>1</v>
      </c>
      <c r="J9" s="166" t="n">
        <v>1</v>
      </c>
      <c r="K9" s="166" t="n">
        <v>1</v>
      </c>
      <c r="L9" s="166" t="n">
        <v>1</v>
      </c>
      <c r="M9" s="166" t="n">
        <v>1</v>
      </c>
      <c r="N9" s="166" t="n">
        <v>1</v>
      </c>
      <c r="O9" s="166" t="n">
        <v>1</v>
      </c>
      <c r="P9" s="166" t="n">
        <v>1</v>
      </c>
      <c r="Q9" s="166" t="n">
        <v>1</v>
      </c>
      <c r="R9" s="166" t="n">
        <v>1</v>
      </c>
      <c r="S9" s="166" t="n">
        <v>1</v>
      </c>
    </row>
    <row r="10" customFormat="false" ht="15" hidden="false" customHeight="false" outlineLevel="0" collapsed="false">
      <c r="B10" s="166" t="s">
        <v>121</v>
      </c>
      <c r="C10" s="166" t="s">
        <v>122</v>
      </c>
      <c r="D10" s="147" t="n">
        <f aca="false">33000+36000/24</f>
        <v>34500</v>
      </c>
      <c r="E10" s="147" t="n">
        <f aca="false">ROUND(D10*1.1,0)</f>
        <v>37950</v>
      </c>
      <c r="F10" s="147"/>
      <c r="G10" s="166" t="n">
        <v>3</v>
      </c>
      <c r="H10" s="166" t="n">
        <v>3</v>
      </c>
      <c r="I10" s="166" t="n">
        <v>3</v>
      </c>
      <c r="J10" s="166" t="n">
        <v>3</v>
      </c>
      <c r="K10" s="166" t="n">
        <v>3</v>
      </c>
      <c r="L10" s="166" t="n">
        <v>3</v>
      </c>
      <c r="M10" s="166" t="n">
        <v>4</v>
      </c>
      <c r="N10" s="166" t="n">
        <v>4</v>
      </c>
      <c r="O10" s="166" t="n">
        <v>4</v>
      </c>
      <c r="P10" s="166" t="n">
        <v>4</v>
      </c>
      <c r="Q10" s="166" t="n">
        <v>4</v>
      </c>
      <c r="R10" s="166" t="n">
        <v>4</v>
      </c>
      <c r="S10" s="166" t="n">
        <v>4</v>
      </c>
    </row>
    <row r="11" customFormat="false" ht="15" hidden="false" customHeight="false" outlineLevel="0" collapsed="false">
      <c r="B11" s="166" t="s">
        <v>123</v>
      </c>
      <c r="C11" s="166" t="s">
        <v>124</v>
      </c>
      <c r="D11" s="147" t="n">
        <f aca="false">60000+36000/24</f>
        <v>61500</v>
      </c>
      <c r="E11" s="147" t="n">
        <f aca="false">ROUND(D11*1.1,0)</f>
        <v>67650</v>
      </c>
      <c r="F11" s="147"/>
      <c r="G11" s="166" t="n">
        <v>0</v>
      </c>
      <c r="H11" s="166" t="n">
        <v>0</v>
      </c>
      <c r="I11" s="166" t="n">
        <v>0</v>
      </c>
      <c r="J11" s="166" t="n">
        <v>0</v>
      </c>
      <c r="K11" s="166" t="n">
        <v>0</v>
      </c>
      <c r="L11" s="166" t="n">
        <v>0</v>
      </c>
      <c r="M11" s="166" t="n">
        <v>1</v>
      </c>
      <c r="N11" s="166" t="n">
        <v>1</v>
      </c>
      <c r="O11" s="166" t="n">
        <v>1</v>
      </c>
      <c r="P11" s="166" t="n">
        <v>1</v>
      </c>
      <c r="Q11" s="166" t="n">
        <v>1</v>
      </c>
      <c r="R11" s="166" t="n">
        <v>1</v>
      </c>
      <c r="S11" s="166" t="n">
        <v>1</v>
      </c>
    </row>
    <row r="12" customFormat="false" ht="15" hidden="false" customHeight="false" outlineLevel="0" collapsed="false">
      <c r="B12" s="166" t="s">
        <v>125</v>
      </c>
      <c r="C12" s="166" t="s">
        <v>124</v>
      </c>
      <c r="D12" s="147" t="n">
        <f aca="false">0.05*D11</f>
        <v>3075</v>
      </c>
      <c r="E12" s="147" t="n">
        <f aca="false">ROUND(D12*1.1,0)</f>
        <v>3383</v>
      </c>
      <c r="F12" s="147"/>
      <c r="G12" s="166" t="n">
        <v>0</v>
      </c>
      <c r="H12" s="166" t="n">
        <v>0</v>
      </c>
      <c r="I12" s="166" t="n">
        <v>0</v>
      </c>
      <c r="J12" s="166" t="n">
        <v>0</v>
      </c>
      <c r="K12" s="166" t="n">
        <v>0</v>
      </c>
      <c r="L12" s="166" t="n">
        <v>0</v>
      </c>
      <c r="M12" s="166" t="n">
        <v>1</v>
      </c>
      <c r="N12" s="166" t="n">
        <v>1</v>
      </c>
      <c r="O12" s="166" t="n">
        <v>1</v>
      </c>
      <c r="P12" s="166" t="n">
        <v>1</v>
      </c>
      <c r="Q12" s="166" t="n">
        <v>1</v>
      </c>
      <c r="R12" s="166" t="n">
        <v>1</v>
      </c>
      <c r="S12" s="166" t="n">
        <v>1</v>
      </c>
    </row>
    <row r="13" customFormat="false" ht="15" hidden="false" customHeight="false" outlineLevel="0" collapsed="false">
      <c r="B13" s="166" t="s">
        <v>126</v>
      </c>
      <c r="C13" s="166" t="s">
        <v>124</v>
      </c>
      <c r="D13" s="147" t="n">
        <f aca="false">8000+36000/24</f>
        <v>9500</v>
      </c>
      <c r="E13" s="147" t="n">
        <f aca="false">ROUND(D13*1.1,0)</f>
        <v>10450</v>
      </c>
      <c r="F13" s="147"/>
      <c r="G13" s="166" t="n">
        <v>1</v>
      </c>
      <c r="H13" s="166" t="n">
        <v>1</v>
      </c>
      <c r="I13" s="166" t="n">
        <v>1</v>
      </c>
      <c r="J13" s="166" t="n">
        <v>1</v>
      </c>
      <c r="K13" s="166" t="n">
        <v>1</v>
      </c>
      <c r="L13" s="166" t="n">
        <v>1</v>
      </c>
      <c r="M13" s="166" t="n">
        <v>1</v>
      </c>
      <c r="N13" s="166" t="n">
        <v>1</v>
      </c>
      <c r="O13" s="166" t="n">
        <v>1</v>
      </c>
      <c r="P13" s="166" t="n">
        <v>1</v>
      </c>
      <c r="Q13" s="166" t="n">
        <v>1</v>
      </c>
      <c r="R13" s="166" t="n">
        <v>1</v>
      </c>
      <c r="S13" s="166" t="n">
        <v>1</v>
      </c>
    </row>
    <row r="14" customFormat="false" ht="15" hidden="false" customHeight="false" outlineLevel="0" collapsed="false">
      <c r="B14" s="166" t="s">
        <v>127</v>
      </c>
      <c r="C14" s="173"/>
      <c r="D14" s="173"/>
      <c r="E14" s="173"/>
      <c r="F14" s="173"/>
      <c r="G14" s="173" t="n">
        <f aca="false">SUM(G5:G13)</f>
        <v>7</v>
      </c>
      <c r="H14" s="173" t="n">
        <f aca="false">SUM(H5:H13)</f>
        <v>8</v>
      </c>
      <c r="I14" s="173" t="n">
        <f aca="false">SUM(I5:I13)</f>
        <v>9</v>
      </c>
      <c r="J14" s="173" t="n">
        <f aca="false">SUM(J5:J13)</f>
        <v>10</v>
      </c>
      <c r="K14" s="173" t="n">
        <f aca="false">SUM(K5:K13)</f>
        <v>10</v>
      </c>
      <c r="L14" s="173" t="n">
        <f aca="false">SUM(L5:L13)</f>
        <v>10</v>
      </c>
      <c r="M14" s="173" t="n">
        <f aca="false">SUM(M5:M13)</f>
        <v>17</v>
      </c>
      <c r="N14" s="173" t="n">
        <f aca="false">SUM(N5:N13)</f>
        <v>17</v>
      </c>
      <c r="O14" s="173" t="n">
        <f aca="false">SUM(O5:O13)</f>
        <v>20</v>
      </c>
      <c r="P14" s="173" t="n">
        <f aca="false">SUM(P5:P13)</f>
        <v>20</v>
      </c>
      <c r="Q14" s="173" t="n">
        <f aca="false">SUM(Q5:Q13)</f>
        <v>22</v>
      </c>
      <c r="R14" s="173" t="n">
        <f aca="false">SUM(R5:R13)</f>
        <v>22</v>
      </c>
      <c r="S14" s="173" t="n">
        <f aca="false">SUM(S5:S13)</f>
        <v>28</v>
      </c>
    </row>
    <row r="15" customFormat="false" ht="15" hidden="false" customHeight="false" outlineLevel="0" collapsed="false"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</row>
    <row r="16" customFormat="false" ht="15" hidden="false" customHeight="false" outlineLevel="0" collapsed="false">
      <c r="B16" s="166" t="s">
        <v>114</v>
      </c>
      <c r="C16" s="0"/>
      <c r="D16" s="0"/>
      <c r="E16" s="0"/>
      <c r="F16" s="0"/>
      <c r="G16" s="166" t="n">
        <f aca="false">SUMIF($C$5:$C$13,$B$16,G5:G13)</f>
        <v>2</v>
      </c>
      <c r="H16" s="166" t="n">
        <f aca="false">SUMIF($C$5:$C$13,$B$16,H5:H13)</f>
        <v>2</v>
      </c>
      <c r="I16" s="166" t="n">
        <f aca="false">SUMIF($C$5:$C$13,$B$16,I5:I13)</f>
        <v>2</v>
      </c>
      <c r="J16" s="166" t="n">
        <f aca="false">SUMIF($C$5:$C$13,$B$16,J5:J13)</f>
        <v>3</v>
      </c>
      <c r="K16" s="166" t="n">
        <f aca="false">SUMIF($C$5:$C$13,$B$16,K5:K13)</f>
        <v>3</v>
      </c>
      <c r="L16" s="166" t="n">
        <f aca="false">SUMIF($C$5:$C$13,$B$16,L5:L13)</f>
        <v>3</v>
      </c>
      <c r="M16" s="166" t="n">
        <f aca="false">SUMIF($C$5:$C$13,$B$16,M5:M13)</f>
        <v>5</v>
      </c>
      <c r="N16" s="166" t="n">
        <f aca="false">SUMIF($C$5:$C$13,$B$16,N5:N13)</f>
        <v>5</v>
      </c>
      <c r="O16" s="166" t="n">
        <f aca="false">SUMIF($C$5:$C$13,$B$16,O5:O13)</f>
        <v>7</v>
      </c>
      <c r="P16" s="166" t="n">
        <f aca="false">SUMIF($C$5:$C$13,$B$16,P5:P13)</f>
        <v>7</v>
      </c>
      <c r="Q16" s="166" t="n">
        <f aca="false">SUMIF($C$5:$C$13,$B$16,Q5:Q13)</f>
        <v>9</v>
      </c>
      <c r="R16" s="166" t="n">
        <f aca="false">SUMIF($C$5:$C$13,$B$16,R5:R13)</f>
        <v>9</v>
      </c>
      <c r="S16" s="166" t="n">
        <f aca="false">SUMIF($C$5:$C$13,$B$16,S5:S13)</f>
        <v>11</v>
      </c>
    </row>
    <row r="17" customFormat="false" ht="15" hidden="false" customHeight="false" outlineLevel="0" collapsed="false">
      <c r="B17" s="166" t="s">
        <v>118</v>
      </c>
      <c r="C17" s="0"/>
      <c r="D17" s="0"/>
      <c r="E17" s="0"/>
      <c r="F17" s="0"/>
      <c r="G17" s="166" t="n">
        <f aca="false">SUMIF($C$5:$C$13,$B$17,G5:G13)</f>
        <v>1</v>
      </c>
      <c r="H17" s="166" t="n">
        <f aca="false">SUMIF($C$5:$C$13,$B$17,H5:H13)</f>
        <v>2</v>
      </c>
      <c r="I17" s="166" t="n">
        <f aca="false">SUMIF($C$5:$C$13,$B$17,I5:I13)</f>
        <v>2</v>
      </c>
      <c r="J17" s="166" t="n">
        <f aca="false">SUMIF($C$5:$C$13,$B$17,J5:J13)</f>
        <v>2</v>
      </c>
      <c r="K17" s="166" t="n">
        <f aca="false">SUMIF($C$5:$C$13,$B$17,K5:K13)</f>
        <v>2</v>
      </c>
      <c r="L17" s="166" t="n">
        <f aca="false">SUMIF($C$5:$C$13,$B$17,L5:L13)</f>
        <v>2</v>
      </c>
      <c r="M17" s="166" t="n">
        <f aca="false">SUMIF($C$5:$C$13,$B$17,M5:M13)</f>
        <v>4</v>
      </c>
      <c r="N17" s="166" t="n">
        <f aca="false">SUMIF($C$5:$C$13,$B$17,N5:N13)</f>
        <v>4</v>
      </c>
      <c r="O17" s="166" t="n">
        <f aca="false">SUMIF($C$5:$C$13,$B$17,O5:O13)</f>
        <v>5</v>
      </c>
      <c r="P17" s="166" t="n">
        <f aca="false">SUMIF($C$5:$C$13,$B$17,P5:P13)</f>
        <v>5</v>
      </c>
      <c r="Q17" s="166" t="n">
        <f aca="false">SUMIF($C$5:$C$13,$B$17,Q5:Q13)</f>
        <v>5</v>
      </c>
      <c r="R17" s="166" t="n">
        <f aca="false">SUMIF($C$5:$C$13,$B$17,R5:R13)</f>
        <v>5</v>
      </c>
      <c r="S17" s="166" t="n">
        <f aca="false">SUMIF($C$5:$C$13,$B$17,S5:S13)</f>
        <v>9</v>
      </c>
    </row>
    <row r="18" customFormat="false" ht="15" hidden="false" customHeight="false" outlineLevel="0" collapsed="false">
      <c r="B18" s="166" t="s">
        <v>120</v>
      </c>
      <c r="C18" s="0"/>
      <c r="D18" s="0"/>
      <c r="E18" s="0"/>
      <c r="F18" s="0"/>
      <c r="G18" s="166" t="n">
        <f aca="false">SUMIF($C$5:$C$13,$B$18,G5:G13)</f>
        <v>0</v>
      </c>
      <c r="H18" s="166" t="n">
        <f aca="false">SUMIF($C$5:$C$13,$B$18,H5:H13)</f>
        <v>0</v>
      </c>
      <c r="I18" s="166" t="n">
        <f aca="false">SUMIF($C$5:$C$13,$B$18,I5:I13)</f>
        <v>1</v>
      </c>
      <c r="J18" s="166" t="n">
        <f aca="false">SUMIF($C$5:$C$13,$B$18,J5:J13)</f>
        <v>1</v>
      </c>
      <c r="K18" s="166" t="n">
        <f aca="false">SUMIF($C$5:$C$13,$B$18,K5:K13)</f>
        <v>1</v>
      </c>
      <c r="L18" s="166" t="n">
        <f aca="false">SUMIF($C$5:$C$13,$B$18,L5:L13)</f>
        <v>1</v>
      </c>
      <c r="M18" s="166" t="n">
        <f aca="false">SUMIF($C$5:$C$13,$B$18,M5:M13)</f>
        <v>1</v>
      </c>
      <c r="N18" s="166" t="n">
        <f aca="false">SUMIF($C$5:$C$13,$B$18,N5:N13)</f>
        <v>1</v>
      </c>
      <c r="O18" s="166" t="n">
        <f aca="false">SUMIF($C$5:$C$13,$B$18,O5:O13)</f>
        <v>1</v>
      </c>
      <c r="P18" s="166" t="n">
        <f aca="false">SUMIF($C$5:$C$13,$B$18,P5:P13)</f>
        <v>1</v>
      </c>
      <c r="Q18" s="166" t="n">
        <f aca="false">SUMIF($C$5:$C$13,$B$18,Q5:Q13)</f>
        <v>1</v>
      </c>
      <c r="R18" s="166" t="n">
        <f aca="false">SUMIF($C$5:$C$13,$B$18,R5:R13)</f>
        <v>1</v>
      </c>
      <c r="S18" s="166" t="n">
        <f aca="false">SUMIF($C$5:$C$13,$B$18,S5:S13)</f>
        <v>1</v>
      </c>
    </row>
    <row r="19" customFormat="false" ht="15" hidden="false" customHeight="false" outlineLevel="0" collapsed="false">
      <c r="B19" s="166" t="s">
        <v>122</v>
      </c>
      <c r="C19" s="0"/>
      <c r="D19" s="0"/>
      <c r="E19" s="0"/>
      <c r="F19" s="0"/>
      <c r="G19" s="166" t="n">
        <f aca="false">SUMIF($C$5:$C$13,$B$19,G5:G13)</f>
        <v>3</v>
      </c>
      <c r="H19" s="166" t="n">
        <f aca="false">SUMIF($C$5:$C$13,$B$19,H5:H13)</f>
        <v>3</v>
      </c>
      <c r="I19" s="166" t="n">
        <f aca="false">SUMIF($C$5:$C$13,$B$19,I5:I13)</f>
        <v>3</v>
      </c>
      <c r="J19" s="166" t="n">
        <f aca="false">SUMIF($C$5:$C$13,$B$19,J5:J13)</f>
        <v>3</v>
      </c>
      <c r="K19" s="166" t="n">
        <f aca="false">SUMIF($C$5:$C$13,$B$19,K5:K13)</f>
        <v>3</v>
      </c>
      <c r="L19" s="166" t="n">
        <f aca="false">SUMIF($C$5:$C$13,$B$19,L5:L13)</f>
        <v>3</v>
      </c>
      <c r="M19" s="166" t="n">
        <f aca="false">SUMIF($C$5:$C$13,$B$19,M5:M13)</f>
        <v>4</v>
      </c>
      <c r="N19" s="166" t="n">
        <f aca="false">SUMIF($C$5:$C$13,$B$19,N5:N13)</f>
        <v>4</v>
      </c>
      <c r="O19" s="166" t="n">
        <f aca="false">SUMIF($C$5:$C$13,$B$19,O5:O13)</f>
        <v>4</v>
      </c>
      <c r="P19" s="166" t="n">
        <f aca="false">SUMIF($C$5:$C$13,$B$19,P5:P13)</f>
        <v>4</v>
      </c>
      <c r="Q19" s="166" t="n">
        <f aca="false">SUMIF($C$5:$C$13,$B$19,Q5:Q13)</f>
        <v>4</v>
      </c>
      <c r="R19" s="166" t="n">
        <f aca="false">SUMIF($C$5:$C$13,$B$19,R5:R13)</f>
        <v>4</v>
      </c>
      <c r="S19" s="166" t="n">
        <f aca="false">SUMIF($C$5:$C$13,$B$19,S5:S13)</f>
        <v>4</v>
      </c>
    </row>
    <row r="20" customFormat="false" ht="15" hidden="false" customHeight="false" outlineLevel="0" collapsed="false">
      <c r="B20" s="166" t="s">
        <v>124</v>
      </c>
      <c r="C20" s="0"/>
      <c r="D20" s="0"/>
      <c r="E20" s="0"/>
      <c r="F20" s="0"/>
      <c r="G20" s="166" t="n">
        <f aca="false">SUMIF($C$5:$C$13,$B$20,G5:G13)</f>
        <v>1</v>
      </c>
      <c r="H20" s="166" t="n">
        <f aca="false">SUMIF($C$5:$C$13,$B$20,H5:H13)</f>
        <v>1</v>
      </c>
      <c r="I20" s="166" t="n">
        <f aca="false">SUMIF($C$5:$C$13,$B$20,I5:I13)</f>
        <v>1</v>
      </c>
      <c r="J20" s="166" t="n">
        <f aca="false">SUMIF($C$5:$C$13,$B$20,J5:J13)</f>
        <v>1</v>
      </c>
      <c r="K20" s="166" t="n">
        <f aca="false">SUMIF($C$5:$C$13,$B$20,K5:K13)</f>
        <v>1</v>
      </c>
      <c r="L20" s="166" t="n">
        <f aca="false">SUMIF($C$5:$C$13,$B$20,L5:L13)</f>
        <v>1</v>
      </c>
      <c r="M20" s="166" t="n">
        <f aca="false">SUMIF($C$5:$C$13,$B$20,M5:M13)</f>
        <v>3</v>
      </c>
      <c r="N20" s="166" t="n">
        <f aca="false">SUMIF($C$5:$C$13,$B$20,N5:N13)</f>
        <v>3</v>
      </c>
      <c r="O20" s="166" t="n">
        <f aca="false">SUMIF($C$5:$C$13,$B$20,O5:O13)</f>
        <v>3</v>
      </c>
      <c r="P20" s="166" t="n">
        <f aca="false">SUMIF($C$5:$C$13,$B$20,P5:P13)</f>
        <v>3</v>
      </c>
      <c r="Q20" s="166" t="n">
        <f aca="false">SUMIF($C$5:$C$13,$B$20,Q5:Q13)</f>
        <v>3</v>
      </c>
      <c r="R20" s="166" t="n">
        <f aca="false">SUMIF($C$5:$C$13,$B$20,R5:R13)</f>
        <v>3</v>
      </c>
      <c r="S20" s="166" t="n">
        <f aca="false">SUMIF($C$5:$C$13,$B$20,S5:S13)</f>
        <v>3</v>
      </c>
    </row>
    <row r="21" customFormat="false" ht="15" hidden="false" customHeight="false" outlineLevel="0" collapsed="false">
      <c r="B21" s="173" t="s">
        <v>15</v>
      </c>
      <c r="C21" s="173"/>
      <c r="D21" s="173"/>
      <c r="E21" s="173"/>
      <c r="F21" s="173"/>
      <c r="G21" s="173" t="n">
        <f aca="false">SUM(G16:G20)</f>
        <v>7</v>
      </c>
      <c r="H21" s="173" t="n">
        <f aca="false">SUM(H16:H20)</f>
        <v>8</v>
      </c>
      <c r="I21" s="173" t="n">
        <f aca="false">SUM(I16:I20)</f>
        <v>9</v>
      </c>
      <c r="J21" s="173" t="n">
        <f aca="false">SUM(J16:J20)</f>
        <v>10</v>
      </c>
      <c r="K21" s="173" t="n">
        <f aca="false">SUM(K16:K20)</f>
        <v>10</v>
      </c>
      <c r="L21" s="173" t="n">
        <f aca="false">SUM(L16:L20)</f>
        <v>10</v>
      </c>
      <c r="M21" s="173" t="n">
        <f aca="false">SUM(M16:M20)</f>
        <v>17</v>
      </c>
      <c r="N21" s="173" t="n">
        <f aca="false">SUM(N16:N20)</f>
        <v>17</v>
      </c>
      <c r="O21" s="173" t="n">
        <f aca="false">SUM(O16:O20)</f>
        <v>20</v>
      </c>
      <c r="P21" s="173" t="n">
        <f aca="false">SUM(P16:P20)</f>
        <v>20</v>
      </c>
      <c r="Q21" s="173" t="n">
        <f aca="false">SUM(Q16:Q20)</f>
        <v>22</v>
      </c>
      <c r="R21" s="173" t="n">
        <f aca="false">SUM(R16:R20)</f>
        <v>22</v>
      </c>
      <c r="S21" s="173" t="n">
        <f aca="false">SUM(S16:S20)</f>
        <v>28</v>
      </c>
    </row>
    <row r="22" customFormat="false" ht="15" hidden="false" customHeight="false" outlineLevel="0" collapsed="false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customFormat="false" ht="15" hidden="false" customHeight="false" outlineLevel="0" collapsed="false">
      <c r="B23" s="173" t="s">
        <v>128</v>
      </c>
      <c r="C23" s="173"/>
      <c r="D23" s="173"/>
      <c r="E23" s="173"/>
      <c r="F23" s="173"/>
      <c r="G23" s="174" t="n">
        <f aca="false">ROUND(G18+G19+G20+SUM(G6,G7,G8),0)</f>
        <v>6</v>
      </c>
      <c r="H23" s="174" t="n">
        <f aca="false">ROUND(H18+H19+H20+SUM(H6,H7,H8),0)</f>
        <v>7</v>
      </c>
      <c r="I23" s="174" t="n">
        <f aca="false">ROUND(I18+I19+I20+SUM(I6,I7,I8),0)</f>
        <v>8</v>
      </c>
      <c r="J23" s="174" t="n">
        <f aca="false">ROUND(J18+J19+J20+SUM(J6,J7,J8),0)</f>
        <v>9</v>
      </c>
      <c r="K23" s="174" t="n">
        <f aca="false">ROUND(K18+K19+K20+SUM(K6,K7,K8),0)</f>
        <v>9</v>
      </c>
      <c r="L23" s="174" t="n">
        <f aca="false">ROUND(L18+L19+L20+SUM(L6,L7,L8),0)</f>
        <v>9</v>
      </c>
      <c r="M23" s="174" t="n">
        <f aca="false">ROUND(M18+M19+M20+SUM(M6,M7,M8),0)</f>
        <v>14</v>
      </c>
      <c r="N23" s="174" t="n">
        <f aca="false">ROUND(N18+N19+N20+SUM(N6,N7,N8),0)</f>
        <v>14</v>
      </c>
      <c r="O23" s="174" t="n">
        <f aca="false">ROUND(O18+O19+O20+SUM(O6,O7,O8),0)</f>
        <v>16</v>
      </c>
      <c r="P23" s="174" t="n">
        <f aca="false">ROUND(P18+P19+P20+SUM(P6,P7,P8),0)</f>
        <v>16</v>
      </c>
      <c r="Q23" s="174" t="n">
        <f aca="false">ROUND(Q18+Q19+Q20+SUM(Q6,Q7,Q8),0)</f>
        <v>17</v>
      </c>
      <c r="R23" s="174" t="n">
        <f aca="false">ROUND(R18+R19+R20+SUM(R6,R7,R8),0)</f>
        <v>17</v>
      </c>
      <c r="S23" s="174" t="n">
        <f aca="false">ROUND(S18+S19+S20+SUM(S6,S7,S8),0)</f>
        <v>22</v>
      </c>
    </row>
    <row r="24" customFormat="false" ht="15" hidden="false" customHeight="false" outlineLevel="0" collapsed="false"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</row>
    <row r="25" customFormat="false" ht="36" hidden="false" customHeight="false" outlineLevel="0" collapsed="false">
      <c r="B25" s="167" t="s">
        <v>74</v>
      </c>
      <c r="C25" s="168" t="s">
        <v>129</v>
      </c>
      <c r="D25" s="169" t="s">
        <v>110</v>
      </c>
      <c r="E25" s="170" t="s">
        <v>111</v>
      </c>
      <c r="F25" s="169"/>
      <c r="G25" s="109" t="s">
        <v>45</v>
      </c>
      <c r="H25" s="109" t="s">
        <v>46</v>
      </c>
      <c r="I25" s="109" t="s">
        <v>47</v>
      </c>
      <c r="J25" s="109" t="s">
        <v>48</v>
      </c>
      <c r="K25" s="109" t="s">
        <v>49</v>
      </c>
      <c r="L25" s="109" t="s">
        <v>50</v>
      </c>
      <c r="M25" s="109" t="s">
        <v>51</v>
      </c>
      <c r="N25" s="109" t="s">
        <v>52</v>
      </c>
      <c r="O25" s="109" t="s">
        <v>53</v>
      </c>
      <c r="P25" s="109" t="s">
        <v>54</v>
      </c>
      <c r="Q25" s="109" t="s">
        <v>55</v>
      </c>
      <c r="R25" s="109" t="s">
        <v>56</v>
      </c>
      <c r="S25" s="109" t="s">
        <v>57</v>
      </c>
    </row>
    <row r="26" customFormat="false" ht="15" hidden="false" customHeight="false" outlineLevel="0" collapsed="false">
      <c r="B26" s="166" t="s">
        <v>113</v>
      </c>
      <c r="C26" s="166" t="s">
        <v>114</v>
      </c>
      <c r="D26" s="147" t="n">
        <f aca="false">D5</f>
        <v>14500</v>
      </c>
      <c r="E26" s="147" t="n">
        <f aca="false">E5</f>
        <v>15950</v>
      </c>
      <c r="F26" s="147"/>
      <c r="G26" s="172" t="n">
        <f aca="false">$D$26*G5</f>
        <v>14500</v>
      </c>
      <c r="H26" s="172" t="n">
        <f aca="false">$D$26*H5</f>
        <v>14500</v>
      </c>
      <c r="I26" s="172" t="n">
        <f aca="false">$D$26*I5</f>
        <v>14500</v>
      </c>
      <c r="J26" s="172" t="n">
        <f aca="false">$D$26*J5</f>
        <v>14500</v>
      </c>
      <c r="K26" s="172" t="n">
        <f aca="false">$D$26*K5</f>
        <v>14500</v>
      </c>
      <c r="L26" s="172" t="n">
        <f aca="false">$D$26*L5</f>
        <v>14500</v>
      </c>
      <c r="M26" s="172" t="n">
        <f aca="false">$D$26*M5</f>
        <v>43500</v>
      </c>
      <c r="N26" s="172" t="n">
        <f aca="false">$D$26*N5</f>
        <v>43500</v>
      </c>
      <c r="O26" s="172" t="n">
        <f aca="false">$D$26*O5</f>
        <v>58000</v>
      </c>
      <c r="P26" s="172" t="n">
        <f aca="false">$D$26*P5</f>
        <v>58000</v>
      </c>
      <c r="Q26" s="172" t="n">
        <f aca="false">$D$26*Q5</f>
        <v>72500</v>
      </c>
      <c r="R26" s="172" t="n">
        <f aca="false">$D$26*R5</f>
        <v>72500</v>
      </c>
      <c r="S26" s="172" t="n">
        <f aca="false">$E$26*S5</f>
        <v>95700</v>
      </c>
    </row>
    <row r="27" customFormat="false" ht="15" hidden="false" customHeight="false" outlineLevel="0" collapsed="false">
      <c r="B27" s="166" t="s">
        <v>130</v>
      </c>
      <c r="C27" s="166" t="s">
        <v>114</v>
      </c>
      <c r="D27" s="147" t="n">
        <f aca="false">D6</f>
        <v>34500</v>
      </c>
      <c r="E27" s="147" t="n">
        <f aca="false">E6</f>
        <v>37950</v>
      </c>
      <c r="F27" s="147"/>
      <c r="G27" s="172" t="n">
        <f aca="false">$D$27*G6</f>
        <v>0</v>
      </c>
      <c r="H27" s="172" t="n">
        <f aca="false">$D$27*H6</f>
        <v>0</v>
      </c>
      <c r="I27" s="172" t="n">
        <f aca="false">$D$27*I6</f>
        <v>0</v>
      </c>
      <c r="J27" s="172" t="n">
        <f aca="false">$D$27*J6</f>
        <v>0</v>
      </c>
      <c r="K27" s="172" t="n">
        <f aca="false">$D$27*K6</f>
        <v>0</v>
      </c>
      <c r="L27" s="172" t="n">
        <f aca="false">$D$27*L6</f>
        <v>0</v>
      </c>
      <c r="M27" s="172" t="n">
        <f aca="false">$D$27*M6</f>
        <v>0</v>
      </c>
      <c r="N27" s="172" t="n">
        <f aca="false">$D$27*N6</f>
        <v>0</v>
      </c>
      <c r="O27" s="172" t="n">
        <f aca="false">$D$27*O6</f>
        <v>0</v>
      </c>
      <c r="P27" s="172" t="n">
        <f aca="false">$D$27*P6</f>
        <v>0</v>
      </c>
      <c r="Q27" s="172" t="n">
        <f aca="false">$D$27*Q6</f>
        <v>0</v>
      </c>
      <c r="R27" s="172" t="n">
        <f aca="false">$D$27*R6</f>
        <v>0</v>
      </c>
      <c r="S27" s="172" t="n">
        <f aca="false">$E$27*S6</f>
        <v>0</v>
      </c>
    </row>
    <row r="28" customFormat="false" ht="15" hidden="false" customHeight="false" outlineLevel="0" collapsed="false">
      <c r="B28" s="166" t="s">
        <v>116</v>
      </c>
      <c r="C28" s="166" t="s">
        <v>114</v>
      </c>
      <c r="D28" s="147" t="n">
        <f aca="false">D7</f>
        <v>12500</v>
      </c>
      <c r="E28" s="147" t="n">
        <f aca="false">E7</f>
        <v>13750</v>
      </c>
      <c r="F28" s="147"/>
      <c r="G28" s="172" t="n">
        <f aca="false">$D$28*G7</f>
        <v>12500</v>
      </c>
      <c r="H28" s="172" t="n">
        <f aca="false">$D$28*H7</f>
        <v>12500</v>
      </c>
      <c r="I28" s="172" t="n">
        <f aca="false">$D$28*I7</f>
        <v>12500</v>
      </c>
      <c r="J28" s="172" t="n">
        <f aca="false">$D$28*J7</f>
        <v>25000</v>
      </c>
      <c r="K28" s="172" t="n">
        <f aca="false">$D$28*K7</f>
        <v>25000</v>
      </c>
      <c r="L28" s="172" t="n">
        <f aca="false">$D$28*L7</f>
        <v>25000</v>
      </c>
      <c r="M28" s="172" t="n">
        <f aca="false">$D$28*M7</f>
        <v>25000</v>
      </c>
      <c r="N28" s="172" t="n">
        <f aca="false">$D$28*N7</f>
        <v>25000</v>
      </c>
      <c r="O28" s="172" t="n">
        <f aca="false">$D$28*O7</f>
        <v>37500</v>
      </c>
      <c r="P28" s="172" t="n">
        <f aca="false">$D$28*P7</f>
        <v>37500</v>
      </c>
      <c r="Q28" s="172" t="n">
        <f aca="false">$D$28*Q7</f>
        <v>50000</v>
      </c>
      <c r="R28" s="172" t="n">
        <f aca="false">$D$28*R7</f>
        <v>50000</v>
      </c>
      <c r="S28" s="172" t="n">
        <f aca="false">$E$28*S7</f>
        <v>68750</v>
      </c>
    </row>
    <row r="29" customFormat="false" ht="15" hidden="false" customHeight="false" outlineLevel="0" collapsed="false">
      <c r="B29" s="166" t="s">
        <v>117</v>
      </c>
      <c r="C29" s="166" t="s">
        <v>118</v>
      </c>
      <c r="D29" s="147" t="n">
        <f aca="false">D8</f>
        <v>34500</v>
      </c>
      <c r="E29" s="147" t="n">
        <f aca="false">E8</f>
        <v>37950</v>
      </c>
      <c r="F29" s="147"/>
      <c r="G29" s="172" t="n">
        <f aca="false">$D$29*G8</f>
        <v>34500</v>
      </c>
      <c r="H29" s="172" t="n">
        <f aca="false">$D$29*H8</f>
        <v>69000</v>
      </c>
      <c r="I29" s="172" t="n">
        <f aca="false">$D$29*I8</f>
        <v>69000</v>
      </c>
      <c r="J29" s="172" t="n">
        <f aca="false">$D$29*J8</f>
        <v>69000</v>
      </c>
      <c r="K29" s="172" t="n">
        <f aca="false">$D$29*K8</f>
        <v>69000</v>
      </c>
      <c r="L29" s="172" t="n">
        <f aca="false">$D$29*L8</f>
        <v>69000</v>
      </c>
      <c r="M29" s="172" t="n">
        <f aca="false">$D$29*M8</f>
        <v>138000</v>
      </c>
      <c r="N29" s="172" t="n">
        <f aca="false">$D$29*N8</f>
        <v>138000</v>
      </c>
      <c r="O29" s="172" t="n">
        <f aca="false">$D$29*O8</f>
        <v>172500</v>
      </c>
      <c r="P29" s="172" t="n">
        <f aca="false">$D$29*P8</f>
        <v>172500</v>
      </c>
      <c r="Q29" s="172" t="n">
        <f aca="false">$D$29*Q8</f>
        <v>172500</v>
      </c>
      <c r="R29" s="172" t="n">
        <f aca="false">$D$29*R8</f>
        <v>172500</v>
      </c>
      <c r="S29" s="172" t="n">
        <f aca="false">$E$29*S8</f>
        <v>341550</v>
      </c>
    </row>
    <row r="30" customFormat="false" ht="15" hidden="false" customHeight="false" outlineLevel="0" collapsed="false">
      <c r="B30" s="166" t="s">
        <v>131</v>
      </c>
      <c r="C30" s="166" t="s">
        <v>120</v>
      </c>
      <c r="D30" s="147" t="n">
        <f aca="false">D9</f>
        <v>18000</v>
      </c>
      <c r="E30" s="147" t="n">
        <f aca="false">E9</f>
        <v>19800</v>
      </c>
      <c r="F30" s="147"/>
      <c r="G30" s="172" t="n">
        <f aca="false">$D$30*G9</f>
        <v>0</v>
      </c>
      <c r="H30" s="172" t="n">
        <f aca="false">$D$30*H9</f>
        <v>0</v>
      </c>
      <c r="I30" s="172" t="n">
        <f aca="false">$D$30*I9</f>
        <v>18000</v>
      </c>
      <c r="J30" s="172" t="n">
        <f aca="false">$D$30*J9</f>
        <v>18000</v>
      </c>
      <c r="K30" s="172" t="n">
        <f aca="false">$D$30*K9</f>
        <v>18000</v>
      </c>
      <c r="L30" s="172" t="n">
        <f aca="false">$D$30*L9</f>
        <v>18000</v>
      </c>
      <c r="M30" s="172" t="n">
        <f aca="false">$D$30*M9</f>
        <v>18000</v>
      </c>
      <c r="N30" s="172" t="n">
        <f aca="false">$D$30*N9</f>
        <v>18000</v>
      </c>
      <c r="O30" s="172" t="n">
        <f aca="false">$D$30*O9</f>
        <v>18000</v>
      </c>
      <c r="P30" s="172" t="n">
        <f aca="false">$D$30*P9</f>
        <v>18000</v>
      </c>
      <c r="Q30" s="172" t="n">
        <f aca="false">$D$30*Q9</f>
        <v>18000</v>
      </c>
      <c r="R30" s="172" t="n">
        <f aca="false">$D$30*R9</f>
        <v>18000</v>
      </c>
      <c r="S30" s="172" t="n">
        <f aca="false">$E$30*S9</f>
        <v>19800</v>
      </c>
    </row>
    <row r="31" customFormat="false" ht="15" hidden="false" customHeight="false" outlineLevel="0" collapsed="false">
      <c r="B31" s="166" t="s">
        <v>121</v>
      </c>
      <c r="C31" s="166" t="s">
        <v>122</v>
      </c>
      <c r="D31" s="147" t="n">
        <f aca="false">D10</f>
        <v>34500</v>
      </c>
      <c r="E31" s="147" t="n">
        <f aca="false">E10</f>
        <v>37950</v>
      </c>
      <c r="F31" s="147"/>
      <c r="G31" s="172" t="n">
        <f aca="false">$D$31*G10</f>
        <v>103500</v>
      </c>
      <c r="H31" s="172" t="n">
        <f aca="false">$D$31*H10</f>
        <v>103500</v>
      </c>
      <c r="I31" s="172" t="n">
        <f aca="false">$D$31*I10</f>
        <v>103500</v>
      </c>
      <c r="J31" s="172" t="n">
        <f aca="false">$D$31*J10</f>
        <v>103500</v>
      </c>
      <c r="K31" s="172" t="n">
        <f aca="false">$D$31*K10</f>
        <v>103500</v>
      </c>
      <c r="L31" s="172" t="n">
        <f aca="false">$D$31*L10</f>
        <v>103500</v>
      </c>
      <c r="M31" s="172" t="n">
        <f aca="false">$D$31*M10</f>
        <v>138000</v>
      </c>
      <c r="N31" s="172" t="n">
        <f aca="false">$D$31*N10</f>
        <v>138000</v>
      </c>
      <c r="O31" s="172" t="n">
        <f aca="false">$D$31*O10</f>
        <v>138000</v>
      </c>
      <c r="P31" s="172" t="n">
        <f aca="false">$D$31*P10</f>
        <v>138000</v>
      </c>
      <c r="Q31" s="172" t="n">
        <f aca="false">$D$31*Q10</f>
        <v>138000</v>
      </c>
      <c r="R31" s="172" t="n">
        <f aca="false">$D$31*R10</f>
        <v>138000</v>
      </c>
      <c r="S31" s="172" t="n">
        <f aca="false">$E$31*S10</f>
        <v>151800</v>
      </c>
    </row>
    <row r="32" customFormat="false" ht="15" hidden="false" customHeight="false" outlineLevel="0" collapsed="false">
      <c r="B32" s="166" t="s">
        <v>123</v>
      </c>
      <c r="C32" s="166" t="s">
        <v>124</v>
      </c>
      <c r="D32" s="147" t="n">
        <f aca="false">D11</f>
        <v>61500</v>
      </c>
      <c r="E32" s="147" t="n">
        <f aca="false">E11</f>
        <v>67650</v>
      </c>
      <c r="F32" s="147"/>
      <c r="G32" s="172" t="n">
        <f aca="false">$D$32*G11</f>
        <v>0</v>
      </c>
      <c r="H32" s="172" t="n">
        <f aca="false">$D$32*H11</f>
        <v>0</v>
      </c>
      <c r="I32" s="172" t="n">
        <f aca="false">$D$32*I11</f>
        <v>0</v>
      </c>
      <c r="J32" s="172" t="n">
        <f aca="false">$D$32*J11</f>
        <v>0</v>
      </c>
      <c r="K32" s="172" t="n">
        <f aca="false">$D$32*K11</f>
        <v>0</v>
      </c>
      <c r="L32" s="172" t="n">
        <f aca="false">$D$32*L11</f>
        <v>0</v>
      </c>
      <c r="M32" s="172" t="n">
        <f aca="false">$D$32*M11</f>
        <v>61500</v>
      </c>
      <c r="N32" s="172" t="n">
        <f aca="false">$D$32*N11</f>
        <v>61500</v>
      </c>
      <c r="O32" s="172" t="n">
        <f aca="false">$D$32*O11</f>
        <v>61500</v>
      </c>
      <c r="P32" s="172" t="n">
        <f aca="false">$D$32*P11</f>
        <v>61500</v>
      </c>
      <c r="Q32" s="172" t="n">
        <f aca="false">$D$32*Q11</f>
        <v>61500</v>
      </c>
      <c r="R32" s="172" t="n">
        <f aca="false">$D$32*R11</f>
        <v>61500</v>
      </c>
      <c r="S32" s="172" t="n">
        <f aca="false">$E$32*S11</f>
        <v>67650</v>
      </c>
    </row>
    <row r="33" customFormat="false" ht="15" hidden="false" customHeight="false" outlineLevel="0" collapsed="false">
      <c r="B33" s="166" t="s">
        <v>125</v>
      </c>
      <c r="C33" s="166" t="s">
        <v>124</v>
      </c>
      <c r="D33" s="147" t="n">
        <f aca="false">D12</f>
        <v>3075</v>
      </c>
      <c r="E33" s="147" t="n">
        <f aca="false">E12</f>
        <v>3383</v>
      </c>
      <c r="F33" s="147"/>
      <c r="G33" s="172" t="n">
        <f aca="false">$D$33*G12</f>
        <v>0</v>
      </c>
      <c r="H33" s="172" t="n">
        <f aca="false">$D$33*H12</f>
        <v>0</v>
      </c>
      <c r="I33" s="172" t="n">
        <f aca="false">$D$33*I12</f>
        <v>0</v>
      </c>
      <c r="J33" s="172" t="n">
        <f aca="false">$D$33*J12</f>
        <v>0</v>
      </c>
      <c r="K33" s="172" t="n">
        <f aca="false">$D$33*K12</f>
        <v>0</v>
      </c>
      <c r="L33" s="172" t="n">
        <f aca="false">$D$33*L12</f>
        <v>0</v>
      </c>
      <c r="M33" s="172" t="n">
        <f aca="false">$D$33*M12</f>
        <v>3075</v>
      </c>
      <c r="N33" s="172" t="n">
        <f aca="false">$D$33*N12</f>
        <v>3075</v>
      </c>
      <c r="O33" s="172" t="n">
        <f aca="false">$D$33*O12</f>
        <v>3075</v>
      </c>
      <c r="P33" s="172" t="n">
        <f aca="false">$D$33*P12</f>
        <v>3075</v>
      </c>
      <c r="Q33" s="172" t="n">
        <f aca="false">$D$33*Q12</f>
        <v>3075</v>
      </c>
      <c r="R33" s="172" t="n">
        <f aca="false">$D$33*R12</f>
        <v>3075</v>
      </c>
      <c r="S33" s="172" t="n">
        <f aca="false">$E$33*S12</f>
        <v>3383</v>
      </c>
    </row>
    <row r="34" customFormat="false" ht="15" hidden="false" customHeight="false" outlineLevel="0" collapsed="false">
      <c r="B34" s="166" t="s">
        <v>132</v>
      </c>
      <c r="C34" s="166" t="s">
        <v>124</v>
      </c>
      <c r="D34" s="147" t="n">
        <f aca="false">D13</f>
        <v>9500</v>
      </c>
      <c r="E34" s="147" t="n">
        <f aca="false">E13</f>
        <v>10450</v>
      </c>
      <c r="F34" s="147"/>
      <c r="G34" s="172" t="n">
        <f aca="false">$D$34*G13</f>
        <v>9500</v>
      </c>
      <c r="H34" s="172" t="n">
        <f aca="false">$D$34*H13</f>
        <v>9500</v>
      </c>
      <c r="I34" s="172" t="n">
        <f aca="false">$D$34*I13</f>
        <v>9500</v>
      </c>
      <c r="J34" s="172" t="n">
        <f aca="false">$D$34*J13</f>
        <v>9500</v>
      </c>
      <c r="K34" s="172" t="n">
        <f aca="false">$D$34*K13</f>
        <v>9500</v>
      </c>
      <c r="L34" s="172" t="n">
        <f aca="false">$D$34*L13</f>
        <v>9500</v>
      </c>
      <c r="M34" s="172" t="n">
        <f aca="false">$D$34*M13</f>
        <v>9500</v>
      </c>
      <c r="N34" s="172" t="n">
        <f aca="false">$D$34*N13</f>
        <v>9500</v>
      </c>
      <c r="O34" s="172" t="n">
        <f aca="false">$D$34*O13</f>
        <v>9500</v>
      </c>
      <c r="P34" s="172" t="n">
        <f aca="false">$D$34*P13</f>
        <v>9500</v>
      </c>
      <c r="Q34" s="172" t="n">
        <f aca="false">$D$34*Q13</f>
        <v>9500</v>
      </c>
      <c r="R34" s="172" t="n">
        <f aca="false">$D$34*R13</f>
        <v>9500</v>
      </c>
      <c r="S34" s="172" t="n">
        <f aca="false">$E$34*S13</f>
        <v>10450</v>
      </c>
    </row>
    <row r="35" customFormat="false" ht="15" hidden="false" customHeight="false" outlineLevel="0" collapsed="false">
      <c r="B35" s="173" t="s">
        <v>15</v>
      </c>
      <c r="C35" s="173"/>
      <c r="D35" s="173"/>
      <c r="E35" s="173"/>
      <c r="F35" s="173"/>
      <c r="G35" s="175" t="n">
        <f aca="false">SUM(G26:G34)</f>
        <v>174500</v>
      </c>
      <c r="H35" s="175" t="n">
        <f aca="false">SUM(H26:H34)</f>
        <v>209000</v>
      </c>
      <c r="I35" s="175" t="n">
        <f aca="false">SUM(I26:I34)</f>
        <v>227000</v>
      </c>
      <c r="J35" s="175" t="n">
        <f aca="false">SUM(J26:J34)</f>
        <v>239500</v>
      </c>
      <c r="K35" s="175" t="n">
        <f aca="false">SUM(K26:K34)</f>
        <v>239500</v>
      </c>
      <c r="L35" s="175" t="n">
        <f aca="false">SUM(L26:L34)</f>
        <v>239500</v>
      </c>
      <c r="M35" s="175" t="n">
        <f aca="false">SUM(M26:M34)</f>
        <v>436575</v>
      </c>
      <c r="N35" s="175" t="n">
        <f aca="false">SUM(N26:N34)</f>
        <v>436575</v>
      </c>
      <c r="O35" s="175" t="n">
        <f aca="false">SUM(O26:O34)</f>
        <v>498075</v>
      </c>
      <c r="P35" s="175" t="n">
        <f aca="false">SUM(P26:P34)</f>
        <v>498075</v>
      </c>
      <c r="Q35" s="175" t="n">
        <f aca="false">SUM(Q26:Q34)</f>
        <v>525075</v>
      </c>
      <c r="R35" s="175" t="n">
        <f aca="false">SUM(R26:R34)</f>
        <v>525075</v>
      </c>
      <c r="S35" s="175" t="n">
        <f aca="false">SUM(S26:S34)</f>
        <v>759083</v>
      </c>
    </row>
    <row r="36" customFormat="false" ht="15" hidden="false" customHeight="false" outlineLevel="0" collapsed="false"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</row>
    <row r="37" customFormat="false" ht="15" hidden="false" customHeight="false" outlineLevel="0" collapsed="false">
      <c r="B37" s="166" t="s">
        <v>114</v>
      </c>
      <c r="C37" s="0"/>
      <c r="D37" s="0"/>
      <c r="E37" s="0"/>
      <c r="F37" s="0"/>
      <c r="G37" s="147" t="n">
        <f aca="false">SUMIF($C$26:$C$34,$B$37,$G$26:$G$34)</f>
        <v>27000</v>
      </c>
      <c r="H37" s="147" t="n">
        <f aca="false">SUMIF($C$26:$C$34,$B$37,H26:H34)</f>
        <v>27000</v>
      </c>
      <c r="I37" s="147" t="n">
        <f aca="false">SUMIF($C$26:$C$34,$B$37,I26:I34)</f>
        <v>27000</v>
      </c>
      <c r="J37" s="147" t="n">
        <f aca="false">SUMIF($C$26:$C$34,$B$37,J26:J34)</f>
        <v>39500</v>
      </c>
      <c r="K37" s="147" t="n">
        <f aca="false">SUMIF($C$26:$C$34,$B$37,K26:K34)</f>
        <v>39500</v>
      </c>
      <c r="L37" s="147" t="n">
        <f aca="false">SUMIF($C$26:$C$34,$B$37,L26:L34)</f>
        <v>39500</v>
      </c>
      <c r="M37" s="147" t="n">
        <f aca="false">SUMIF($C$26:$C$34,$B$37,M26:M34)</f>
        <v>68500</v>
      </c>
      <c r="N37" s="147" t="n">
        <f aca="false">SUMIF($C$26:$C$34,$B$37,N26:N34)</f>
        <v>68500</v>
      </c>
      <c r="O37" s="147" t="n">
        <f aca="false">SUMIF($C$26:$C$34,$B$37,O26:O34)</f>
        <v>95500</v>
      </c>
      <c r="P37" s="147" t="n">
        <f aca="false">SUMIF($C$26:$C$34,$B$37,P26:P34)</f>
        <v>95500</v>
      </c>
      <c r="Q37" s="147" t="n">
        <f aca="false">SUMIF($C$26:$C$34,$B$37,Q26:Q34)</f>
        <v>122500</v>
      </c>
      <c r="R37" s="147" t="n">
        <f aca="false">SUMIF($C$26:$C$34,$B$37,R26:R34)</f>
        <v>122500</v>
      </c>
      <c r="S37" s="147" t="n">
        <f aca="false">SUMIF($C$26:$C$34,$B$37,S26:S34)</f>
        <v>164450</v>
      </c>
    </row>
    <row r="38" customFormat="false" ht="15" hidden="false" customHeight="false" outlineLevel="0" collapsed="false">
      <c r="B38" s="166" t="s">
        <v>118</v>
      </c>
      <c r="C38" s="0"/>
      <c r="D38" s="0"/>
      <c r="E38" s="0"/>
      <c r="F38" s="0"/>
      <c r="G38" s="147" t="n">
        <f aca="false">SUMIF($C$26:$C$34,$B$38,$G$26:$G$34)</f>
        <v>34500</v>
      </c>
      <c r="H38" s="147" t="n">
        <f aca="false">SUMIF($C$26:$C$34,$B$38,H26:H34)</f>
        <v>69000</v>
      </c>
      <c r="I38" s="147" t="n">
        <f aca="false">SUMIF($C$26:$C$34,$B$38,I26:I34)</f>
        <v>69000</v>
      </c>
      <c r="J38" s="147" t="n">
        <f aca="false">SUMIF($C$26:$C$34,$B$38,J26:J34)</f>
        <v>69000</v>
      </c>
      <c r="K38" s="147" t="n">
        <f aca="false">SUMIF($C$26:$C$34,$B$38,K26:K34)</f>
        <v>69000</v>
      </c>
      <c r="L38" s="147" t="n">
        <f aca="false">SUMIF($C$26:$C$34,$B$38,L26:L34)</f>
        <v>69000</v>
      </c>
      <c r="M38" s="147" t="n">
        <f aca="false">SUMIF($C$26:$C$34,$B$38,M26:M34)</f>
        <v>138000</v>
      </c>
      <c r="N38" s="147" t="n">
        <f aca="false">SUMIF($C$26:$C$34,$B$38,N26:N34)</f>
        <v>138000</v>
      </c>
      <c r="O38" s="147" t="n">
        <f aca="false">SUMIF($C$26:$C$34,$B$38,O26:O34)</f>
        <v>172500</v>
      </c>
      <c r="P38" s="147" t="n">
        <f aca="false">SUMIF($C$26:$C$34,$B$38,P26:P34)</f>
        <v>172500</v>
      </c>
      <c r="Q38" s="147" t="n">
        <f aca="false">SUMIF($C$26:$C$34,$B$38,Q26:Q34)</f>
        <v>172500</v>
      </c>
      <c r="R38" s="147" t="n">
        <f aca="false">SUMIF($C$26:$C$34,$B$38,R26:R34)</f>
        <v>172500</v>
      </c>
      <c r="S38" s="147" t="n">
        <f aca="false">SUMIF($C$26:$C$34,$B$38,S26:S34)</f>
        <v>341550</v>
      </c>
    </row>
    <row r="39" customFormat="false" ht="15" hidden="false" customHeight="false" outlineLevel="0" collapsed="false">
      <c r="B39" s="166" t="s">
        <v>120</v>
      </c>
      <c r="C39" s="0"/>
      <c r="D39" s="0"/>
      <c r="E39" s="0"/>
      <c r="F39" s="0"/>
      <c r="G39" s="147" t="n">
        <f aca="false">SUMIF($C$26:$C$34,$B$39,$G$26:$G$34)</f>
        <v>0</v>
      </c>
      <c r="H39" s="147" t="n">
        <f aca="false">SUMIF($C$26:$C$34,$B$39,H26:H34)</f>
        <v>0</v>
      </c>
      <c r="I39" s="147" t="n">
        <f aca="false">SUMIF($C$26:$C$34,$B$39,I26:I34)</f>
        <v>18000</v>
      </c>
      <c r="J39" s="147" t="n">
        <f aca="false">SUMIF($C$26:$C$34,$B$39,J26:J34)</f>
        <v>18000</v>
      </c>
      <c r="K39" s="147" t="n">
        <f aca="false">SUMIF($C$26:$C$34,$B$39,K26:K34)</f>
        <v>18000</v>
      </c>
      <c r="L39" s="147" t="n">
        <f aca="false">SUMIF($C$26:$C$34,$B$39,L26:L34)</f>
        <v>18000</v>
      </c>
      <c r="M39" s="147" t="n">
        <f aca="false">SUMIF($C$26:$C$34,$B$39,M26:M34)</f>
        <v>18000</v>
      </c>
      <c r="N39" s="147" t="n">
        <f aca="false">SUMIF($C$26:$C$34,$B$39,N26:N34)</f>
        <v>18000</v>
      </c>
      <c r="O39" s="147" t="n">
        <f aca="false">SUMIF($C$26:$C$34,$B$39,O26:O34)</f>
        <v>18000</v>
      </c>
      <c r="P39" s="147" t="n">
        <f aca="false">SUMIF($C$26:$C$34,$B$39,P26:P34)</f>
        <v>18000</v>
      </c>
      <c r="Q39" s="147" t="n">
        <f aca="false">SUMIF($C$26:$C$34,$B$39,Q26:Q34)</f>
        <v>18000</v>
      </c>
      <c r="R39" s="147" t="n">
        <f aca="false">SUMIF($C$26:$C$34,$B$39,R26:R34)</f>
        <v>18000</v>
      </c>
      <c r="S39" s="147" t="n">
        <f aca="false">SUMIF($C$26:$C$34,$B$39,S26:S34)</f>
        <v>19800</v>
      </c>
    </row>
    <row r="40" customFormat="false" ht="15" hidden="false" customHeight="false" outlineLevel="0" collapsed="false">
      <c r="B40" s="166" t="s">
        <v>122</v>
      </c>
      <c r="C40" s="0"/>
      <c r="D40" s="0"/>
      <c r="E40" s="0"/>
      <c r="F40" s="0"/>
      <c r="G40" s="147" t="n">
        <f aca="false">SUMIF($C$26:$C$34,$B$40,$G$26:$G$34)</f>
        <v>103500</v>
      </c>
      <c r="H40" s="147" t="n">
        <f aca="false">SUMIF($C$26:$C$34,$B$40,H26:H34)</f>
        <v>103500</v>
      </c>
      <c r="I40" s="147" t="n">
        <f aca="false">SUMIF($C$26:$C$34,$B$40,I26:I34)</f>
        <v>103500</v>
      </c>
      <c r="J40" s="147" t="n">
        <f aca="false">SUMIF($C$26:$C$34,$B$40,J26:J34)</f>
        <v>103500</v>
      </c>
      <c r="K40" s="147" t="n">
        <f aca="false">SUMIF($C$26:$C$34,$B$40,K26:K34)</f>
        <v>103500</v>
      </c>
      <c r="L40" s="147" t="n">
        <f aca="false">SUMIF($C$26:$C$34,$B$40,L26:L34)</f>
        <v>103500</v>
      </c>
      <c r="M40" s="147" t="n">
        <f aca="false">SUMIF($C$26:$C$34,$B$40,M26:M34)</f>
        <v>138000</v>
      </c>
      <c r="N40" s="147" t="n">
        <f aca="false">SUMIF($C$26:$C$34,$B$40,N26:N34)</f>
        <v>138000</v>
      </c>
      <c r="O40" s="147" t="n">
        <f aca="false">SUMIF($C$26:$C$34,$B$40,O26:O34)</f>
        <v>138000</v>
      </c>
      <c r="P40" s="147" t="n">
        <f aca="false">SUMIF($C$26:$C$34,$B$40,P26:P34)</f>
        <v>138000</v>
      </c>
      <c r="Q40" s="147" t="n">
        <f aca="false">SUMIF($C$26:$C$34,$B$40,Q26:Q34)</f>
        <v>138000</v>
      </c>
      <c r="R40" s="147" t="n">
        <f aca="false">SUMIF($C$26:$C$34,$B$40,R26:R34)</f>
        <v>138000</v>
      </c>
      <c r="S40" s="147" t="n">
        <f aca="false">SUMIF($C$26:$C$34,$B$40,S26:S34)</f>
        <v>151800</v>
      </c>
    </row>
    <row r="41" customFormat="false" ht="15" hidden="false" customHeight="false" outlineLevel="0" collapsed="false">
      <c r="B41" s="166" t="s">
        <v>124</v>
      </c>
      <c r="C41" s="0"/>
      <c r="D41" s="0"/>
      <c r="E41" s="0"/>
      <c r="F41" s="0"/>
      <c r="G41" s="147" t="n">
        <f aca="false">SUMIF($C$26:$C$34,$B$41,$G$26:$G$34)</f>
        <v>9500</v>
      </c>
      <c r="H41" s="147" t="n">
        <f aca="false">SUMIF($C$26:$C$34,$B$41,H26:H34)</f>
        <v>9500</v>
      </c>
      <c r="I41" s="147" t="n">
        <f aca="false">SUMIF($C$26:$C$34,$B$41,I26:I34)</f>
        <v>9500</v>
      </c>
      <c r="J41" s="147" t="n">
        <f aca="false">SUMIF($C$26:$C$34,$B$41,J26:J34)</f>
        <v>9500</v>
      </c>
      <c r="K41" s="147" t="n">
        <f aca="false">SUMIF($C$26:$C$34,$B$41,K26:K34)</f>
        <v>9500</v>
      </c>
      <c r="L41" s="147" t="n">
        <f aca="false">SUMIF($C$26:$C$34,$B$41,L26:L34)</f>
        <v>9500</v>
      </c>
      <c r="M41" s="147" t="n">
        <f aca="false">SUMIF($C$26:$C$34,$B$41,M26:M34)</f>
        <v>74075</v>
      </c>
      <c r="N41" s="147" t="n">
        <f aca="false">SUMIF($C$26:$C$34,$B$41,N26:N34)</f>
        <v>74075</v>
      </c>
      <c r="O41" s="147" t="n">
        <f aca="false">SUMIF($C$26:$C$34,$B$41,O26:O34)</f>
        <v>74075</v>
      </c>
      <c r="P41" s="147" t="n">
        <f aca="false">SUMIF($C$26:$C$34,$B$41,P26:P34)</f>
        <v>74075</v>
      </c>
      <c r="Q41" s="147" t="n">
        <f aca="false">SUMIF($C$26:$C$34,$B$41,Q26:Q34)</f>
        <v>74075</v>
      </c>
      <c r="R41" s="147" t="n">
        <f aca="false">SUMIF($C$26:$C$34,$B$41,R26:R34)</f>
        <v>74075</v>
      </c>
      <c r="S41" s="147" t="n">
        <f aca="false">SUMIF($C$26:$C$34,$B$41,S26:S34)</f>
        <v>81483</v>
      </c>
    </row>
    <row r="42" customFormat="false" ht="15.75" hidden="false" customHeight="false" outlineLevel="0" collapsed="false">
      <c r="B42" s="176" t="s">
        <v>15</v>
      </c>
      <c r="C42" s="176"/>
      <c r="D42" s="176"/>
      <c r="E42" s="176"/>
      <c r="F42" s="176"/>
      <c r="G42" s="156" t="n">
        <f aca="false">SUM(G37:G41)</f>
        <v>174500</v>
      </c>
      <c r="H42" s="156" t="n">
        <f aca="false">SUM(H37:H41)</f>
        <v>209000</v>
      </c>
      <c r="I42" s="156" t="n">
        <f aca="false">SUM(I37:I41)</f>
        <v>227000</v>
      </c>
      <c r="J42" s="156" t="n">
        <f aca="false">SUM(J37:J41)</f>
        <v>239500</v>
      </c>
      <c r="K42" s="156" t="n">
        <f aca="false">SUM(K37:K41)</f>
        <v>239500</v>
      </c>
      <c r="L42" s="156" t="n">
        <f aca="false">SUM(L37:L41)</f>
        <v>239500</v>
      </c>
      <c r="M42" s="156" t="n">
        <f aca="false">SUM(M37:M41)</f>
        <v>436575</v>
      </c>
      <c r="N42" s="156" t="n">
        <f aca="false">SUM(N37:N41)</f>
        <v>436575</v>
      </c>
      <c r="O42" s="156" t="n">
        <f aca="false">SUM(O37:O41)</f>
        <v>498075</v>
      </c>
      <c r="P42" s="156" t="n">
        <f aca="false">SUM(P37:P41)</f>
        <v>498075</v>
      </c>
      <c r="Q42" s="156" t="n">
        <f aca="false">SUM(Q37:Q41)</f>
        <v>525075</v>
      </c>
      <c r="R42" s="156" t="n">
        <f aca="false">SUM(R37:R41)</f>
        <v>525075</v>
      </c>
      <c r="S42" s="156" t="n">
        <f aca="false">SUM(S37:S41)</f>
        <v>759083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A1" activeCellId="0" sqref="A1"/>
    </sheetView>
  </sheetViews>
  <sheetFormatPr defaultRowHeight="15"/>
  <cols>
    <col collapsed="false" hidden="false" max="1" min="1" style="177" width="4.02834008097166"/>
    <col collapsed="false" hidden="false" max="2" min="2" style="177" width="17.995951417004"/>
    <col collapsed="false" hidden="false" max="3" min="3" style="177" width="7.02834008097166"/>
    <col collapsed="false" hidden="false" max="15" min="4" style="177" width="6.17004048582996"/>
    <col collapsed="false" hidden="false" max="1025" min="16" style="177" width="18.5101214574899"/>
  </cols>
  <sheetData>
    <row r="1" customFormat="false" ht="12.75" hidden="false" customHeight="true" outlineLevel="0" collapsed="false">
      <c r="A1" s="0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8"/>
      <c r="N1" s="178"/>
      <c r="O1" s="178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75" hidden="false" customHeight="true" outlineLevel="0" collapsed="false">
      <c r="A2" s="0"/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180" t="s">
        <v>0</v>
      </c>
      <c r="C3" s="109" t="s">
        <v>45</v>
      </c>
      <c r="D3" s="109" t="s">
        <v>46</v>
      </c>
      <c r="E3" s="109" t="s">
        <v>47</v>
      </c>
      <c r="F3" s="109" t="s">
        <v>48</v>
      </c>
      <c r="G3" s="109" t="s">
        <v>49</v>
      </c>
      <c r="H3" s="109" t="s">
        <v>50</v>
      </c>
      <c r="I3" s="109" t="s">
        <v>51</v>
      </c>
      <c r="J3" s="109" t="s">
        <v>52</v>
      </c>
      <c r="K3" s="109" t="s">
        <v>53</v>
      </c>
      <c r="L3" s="109" t="s">
        <v>54</v>
      </c>
      <c r="M3" s="109" t="s">
        <v>55</v>
      </c>
      <c r="N3" s="109" t="s">
        <v>56</v>
      </c>
      <c r="O3" s="109" t="s">
        <v>57</v>
      </c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81" customFormat="true" ht="15" hidden="false" customHeight="true" outlineLevel="0" collapsed="false">
      <c r="B4" s="182" t="s">
        <v>133</v>
      </c>
      <c r="C4" s="183" t="n">
        <f aca="false">$C$9*C14</f>
        <v>0</v>
      </c>
      <c r="D4" s="183" t="n">
        <f aca="false">$C$9*D14</f>
        <v>0</v>
      </c>
      <c r="E4" s="183" t="n">
        <f aca="false">$C$9*E14</f>
        <v>0</v>
      </c>
      <c r="F4" s="183" t="n">
        <f aca="false">$C$9*F14</f>
        <v>0</v>
      </c>
      <c r="G4" s="183" t="n">
        <f aca="false">$C$9*G14</f>
        <v>0</v>
      </c>
      <c r="H4" s="183" t="n">
        <f aca="false">$C$9*H14</f>
        <v>0</v>
      </c>
      <c r="I4" s="183" t="n">
        <f aca="false">$C$9*I14</f>
        <v>0</v>
      </c>
      <c r="J4" s="183" t="n">
        <f aca="false">$C$9*J14</f>
        <v>0</v>
      </c>
      <c r="K4" s="183" t="n">
        <f aca="false">$C$9*K14</f>
        <v>0</v>
      </c>
      <c r="L4" s="183" t="n">
        <f aca="false">$C$9*L14</f>
        <v>0</v>
      </c>
      <c r="M4" s="183" t="n">
        <f aca="false">$C$9*M14</f>
        <v>0</v>
      </c>
      <c r="N4" s="183" t="n">
        <f aca="false">$C$9*N14</f>
        <v>0</v>
      </c>
      <c r="O4" s="183" t="n">
        <f aca="false">$C$9*O14</f>
        <v>0</v>
      </c>
    </row>
    <row r="5" s="181" customFormat="true" ht="15" hidden="false" customHeight="true" outlineLevel="0" collapsed="false">
      <c r="B5" s="182" t="s">
        <v>134</v>
      </c>
      <c r="C5" s="183" t="n">
        <f aca="false">C19*$C$16</f>
        <v>0</v>
      </c>
      <c r="D5" s="183" t="n">
        <f aca="false">D19*$C$16</f>
        <v>0</v>
      </c>
      <c r="E5" s="183" t="n">
        <f aca="false">E19*$C$16</f>
        <v>0</v>
      </c>
      <c r="F5" s="183" t="n">
        <f aca="false">F19*$C$16</f>
        <v>0</v>
      </c>
      <c r="G5" s="183" t="n">
        <f aca="false">G19*$C$16</f>
        <v>0</v>
      </c>
      <c r="H5" s="183" t="n">
        <f aca="false">H19*$C$16</f>
        <v>0</v>
      </c>
      <c r="I5" s="183" t="n">
        <f aca="false">I19*$C$16</f>
        <v>0</v>
      </c>
      <c r="J5" s="183" t="n">
        <f aca="false">J19*$C$16</f>
        <v>0</v>
      </c>
      <c r="K5" s="183" t="n">
        <f aca="false">K19*$C$16</f>
        <v>0</v>
      </c>
      <c r="L5" s="183" t="n">
        <f aca="false">L19*$C$16</f>
        <v>0</v>
      </c>
      <c r="M5" s="183" t="n">
        <f aca="false">M19*$C$16</f>
        <v>0</v>
      </c>
      <c r="N5" s="183" t="n">
        <f aca="false">N19*$C$16</f>
        <v>0</v>
      </c>
      <c r="O5" s="183" t="n">
        <f aca="false">O19*$C$16</f>
        <v>0</v>
      </c>
    </row>
    <row r="6" customFormat="false" ht="15" hidden="false" customHeight="true" outlineLevel="0" collapsed="false">
      <c r="A6" s="0"/>
      <c r="B6" s="184" t="s">
        <v>135</v>
      </c>
      <c r="C6" s="185"/>
      <c r="D6" s="185" t="n">
        <v>0.2</v>
      </c>
      <c r="E6" s="185"/>
      <c r="F6" s="185"/>
      <c r="G6" s="185"/>
      <c r="H6" s="185"/>
      <c r="I6" s="185" t="n">
        <v>0.5</v>
      </c>
      <c r="J6" s="185"/>
      <c r="K6" s="185"/>
      <c r="L6" s="185"/>
      <c r="M6" s="185"/>
      <c r="N6" s="185"/>
      <c r="O6" s="185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0"/>
      <c r="B7" s="186" t="s">
        <v>15</v>
      </c>
      <c r="C7" s="187" t="n">
        <f aca="false">SUM(C4:C6)</f>
        <v>0</v>
      </c>
      <c r="D7" s="187" t="n">
        <f aca="false">SUM(D4:D6)</f>
        <v>0.2</v>
      </c>
      <c r="E7" s="187" t="n">
        <f aca="false">SUM(E4:E6)</f>
        <v>0</v>
      </c>
      <c r="F7" s="187" t="n">
        <f aca="false">SUM(F4:F6)</f>
        <v>0</v>
      </c>
      <c r="G7" s="187" t="n">
        <f aca="false">SUM(G4:G6)</f>
        <v>0</v>
      </c>
      <c r="H7" s="187" t="n">
        <f aca="false">SUM(H4:H6)</f>
        <v>0</v>
      </c>
      <c r="I7" s="187" t="n">
        <f aca="false">SUM(I4:I6)</f>
        <v>0.5</v>
      </c>
      <c r="J7" s="187" t="n">
        <f aca="false">SUM(J4:J6)</f>
        <v>0</v>
      </c>
      <c r="K7" s="187" t="n">
        <f aca="false">SUM(K4:K6)</f>
        <v>0</v>
      </c>
      <c r="L7" s="187" t="n">
        <f aca="false">SUM(L4:L6)</f>
        <v>0</v>
      </c>
      <c r="M7" s="187" t="n">
        <f aca="false">SUM(M4:M6)</f>
        <v>0</v>
      </c>
      <c r="N7" s="187" t="n">
        <f aca="false">SUM(N4:N6)</f>
        <v>0</v>
      </c>
      <c r="O7" s="187" t="n">
        <f aca="false">SUM(O4:O6)</f>
        <v>0</v>
      </c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true" outlineLevel="0" collapsed="false">
      <c r="A8" s="0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true" outlineLevel="0" collapsed="false">
      <c r="A9" s="0"/>
      <c r="B9" s="188" t="s">
        <v>136</v>
      </c>
      <c r="C9" s="189" t="n">
        <f aca="false">0</f>
        <v>0</v>
      </c>
      <c r="D9" s="190"/>
      <c r="E9" s="190"/>
      <c r="F9" s="0"/>
      <c r="G9" s="190"/>
      <c r="H9" s="190"/>
      <c r="I9" s="0"/>
      <c r="J9" s="190"/>
      <c r="K9" s="19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0"/>
      <c r="B10" s="190" t="s">
        <v>137</v>
      </c>
      <c r="C10" s="190" t="n">
        <f aca="false">SUM(Payroll!G16+Payroll!G17)</f>
        <v>3</v>
      </c>
      <c r="D10" s="190" t="n">
        <f aca="false">SUM(Payroll!H16+Payroll!H17)-SUM(Payroll!G16+Payroll!G17)</f>
        <v>1</v>
      </c>
      <c r="E10" s="190" t="n">
        <f aca="false">SUM(Payroll!I16+Payroll!I17)-SUM(Payroll!H16+Payroll!H17)</f>
        <v>0</v>
      </c>
      <c r="F10" s="190" t="n">
        <f aca="false">SUM(Payroll!J16+Payroll!J17)-SUM(Payroll!I16+Payroll!I17)</f>
        <v>1</v>
      </c>
      <c r="G10" s="190" t="n">
        <f aca="false">SUM(Payroll!K16+Payroll!K17)-SUM(Payroll!J16+Payroll!J17)</f>
        <v>0</v>
      </c>
      <c r="H10" s="190" t="n">
        <f aca="false">SUM(Payroll!L16+Payroll!L17)-SUM(Payroll!K16+Payroll!K17)</f>
        <v>0</v>
      </c>
      <c r="I10" s="190" t="n">
        <f aca="false">SUM(Payroll!M16+Payroll!M17)-SUM(Payroll!L16+Payroll!L17)</f>
        <v>4</v>
      </c>
      <c r="J10" s="190" t="n">
        <f aca="false">SUM(Payroll!N16+Payroll!N17)-SUM(Payroll!M16+Payroll!M17)</f>
        <v>0</v>
      </c>
      <c r="K10" s="190" t="n">
        <f aca="false">SUM(Payroll!O16+Payroll!O17)-SUM(Payroll!N16+Payroll!N17)</f>
        <v>3</v>
      </c>
      <c r="L10" s="190" t="n">
        <f aca="false">SUM(Payroll!P16+Payroll!P17)-SUM(Payroll!O16+Payroll!O17)</f>
        <v>0</v>
      </c>
      <c r="M10" s="190" t="n">
        <f aca="false">SUM(Payroll!Q16+Payroll!Q17)-SUM(Payroll!P16+Payroll!P17)</f>
        <v>2</v>
      </c>
      <c r="N10" s="190" t="n">
        <f aca="false">SUM(Payroll!R16+Payroll!R17)-SUM(Payroll!Q16+Payroll!Q17)</f>
        <v>0</v>
      </c>
      <c r="O10" s="190" t="n">
        <f aca="false">SUM(Payroll!S16+Payroll!S17)-SUM(Payroll!R16+Payroll!R17)</f>
        <v>6</v>
      </c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true" outlineLevel="0" collapsed="false">
      <c r="A11" s="0"/>
      <c r="B11" s="190" t="s">
        <v>120</v>
      </c>
      <c r="C11" s="190" t="n">
        <f aca="false">Payroll!G18</f>
        <v>0</v>
      </c>
      <c r="D11" s="190" t="n">
        <f aca="false">Payroll!H18-Payroll!G18</f>
        <v>0</v>
      </c>
      <c r="E11" s="190" t="n">
        <f aca="false">Payroll!I18-Payroll!H18</f>
        <v>1</v>
      </c>
      <c r="F11" s="190" t="n">
        <f aca="false">Payroll!J18-Payroll!I18</f>
        <v>0</v>
      </c>
      <c r="G11" s="190" t="n">
        <f aca="false">Payroll!K18-Payroll!J18</f>
        <v>0</v>
      </c>
      <c r="H11" s="190" t="n">
        <f aca="false">Payroll!L18-Payroll!K18</f>
        <v>0</v>
      </c>
      <c r="I11" s="190" t="n">
        <f aca="false">Payroll!M18-Payroll!L18</f>
        <v>0</v>
      </c>
      <c r="J11" s="190" t="n">
        <f aca="false">Payroll!N18-Payroll!M18</f>
        <v>0</v>
      </c>
      <c r="K11" s="190" t="n">
        <f aca="false">Payroll!O18-Payroll!N18</f>
        <v>0</v>
      </c>
      <c r="L11" s="190" t="n">
        <f aca="false">Payroll!P18-Payroll!O18</f>
        <v>0</v>
      </c>
      <c r="M11" s="190" t="n">
        <f aca="false">Payroll!Q18-Payroll!P18</f>
        <v>0</v>
      </c>
      <c r="N11" s="190" t="n">
        <f aca="false">Payroll!R18-Payroll!Q18</f>
        <v>0</v>
      </c>
      <c r="O11" s="190" t="n">
        <f aca="false">Payroll!S18-Payroll!R18</f>
        <v>0</v>
      </c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0"/>
      <c r="B12" s="190" t="s">
        <v>122</v>
      </c>
      <c r="C12" s="190" t="n">
        <f aca="false">Payroll!G19</f>
        <v>3</v>
      </c>
      <c r="D12" s="190" t="n">
        <f aca="false">Payroll!H19-Payroll!G19</f>
        <v>0</v>
      </c>
      <c r="E12" s="190" t="n">
        <f aca="false">Payroll!I19-Payroll!H19</f>
        <v>0</v>
      </c>
      <c r="F12" s="190" t="n">
        <f aca="false">Payroll!J19-Payroll!I19</f>
        <v>0</v>
      </c>
      <c r="G12" s="190" t="n">
        <f aca="false">Payroll!K19-Payroll!J19</f>
        <v>0</v>
      </c>
      <c r="H12" s="190" t="n">
        <f aca="false">Payroll!L19-Payroll!K19</f>
        <v>0</v>
      </c>
      <c r="I12" s="190" t="n">
        <f aca="false">Payroll!M19-Payroll!L19</f>
        <v>1</v>
      </c>
      <c r="J12" s="190" t="n">
        <f aca="false">Payroll!N19-Payroll!M19</f>
        <v>0</v>
      </c>
      <c r="K12" s="190" t="n">
        <f aca="false">Payroll!O19-Payroll!N19</f>
        <v>0</v>
      </c>
      <c r="L12" s="190" t="n">
        <f aca="false">Payroll!P19-Payroll!O19</f>
        <v>0</v>
      </c>
      <c r="M12" s="190" t="n">
        <f aca="false">Payroll!Q19-Payroll!P19</f>
        <v>0</v>
      </c>
      <c r="N12" s="190" t="n">
        <f aca="false">Payroll!R19-Payroll!Q19</f>
        <v>0</v>
      </c>
      <c r="O12" s="190" t="n">
        <f aca="false">Payroll!S19-Payroll!R19</f>
        <v>0</v>
      </c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true" outlineLevel="0" collapsed="false">
      <c r="A13" s="0"/>
      <c r="B13" s="190" t="s">
        <v>29</v>
      </c>
      <c r="C13" s="190" t="n">
        <f aca="false">Payroll!G20</f>
        <v>1</v>
      </c>
      <c r="D13" s="190" t="n">
        <f aca="false">Payroll!H20-Payroll!G20</f>
        <v>0</v>
      </c>
      <c r="E13" s="190" t="n">
        <f aca="false">Payroll!I20-Payroll!H20</f>
        <v>0</v>
      </c>
      <c r="F13" s="190" t="n">
        <f aca="false">Payroll!J20-Payroll!I20</f>
        <v>0</v>
      </c>
      <c r="G13" s="190" t="n">
        <f aca="false">Payroll!K20-Payroll!J20</f>
        <v>0</v>
      </c>
      <c r="H13" s="190" t="n">
        <f aca="false">Payroll!L20-Payroll!K20</f>
        <v>0</v>
      </c>
      <c r="I13" s="190" t="n">
        <f aca="false">Payroll!M20-Payroll!L20</f>
        <v>2</v>
      </c>
      <c r="J13" s="190" t="n">
        <f aca="false">Payroll!N20-Payroll!M20</f>
        <v>0</v>
      </c>
      <c r="K13" s="190" t="n">
        <f aca="false">Payroll!O20-Payroll!N20</f>
        <v>0</v>
      </c>
      <c r="L13" s="190" t="n">
        <f aca="false">Payroll!P20-Payroll!O20</f>
        <v>0</v>
      </c>
      <c r="M13" s="190" t="n">
        <f aca="false">Payroll!Q20-Payroll!P20</f>
        <v>0</v>
      </c>
      <c r="N13" s="190" t="n">
        <f aca="false">Payroll!R20-Payroll!Q20</f>
        <v>0</v>
      </c>
      <c r="O13" s="190" t="n">
        <f aca="false">Payroll!S20-Payroll!R20</f>
        <v>0</v>
      </c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91" customFormat="true" ht="15" hidden="false" customHeight="true" outlineLevel="0" collapsed="false">
      <c r="B14" s="192" t="s">
        <v>15</v>
      </c>
      <c r="C14" s="192" t="n">
        <f aca="false">SUM(C10:C13)</f>
        <v>7</v>
      </c>
      <c r="D14" s="192" t="n">
        <f aca="false">SUM(D10:D13)</f>
        <v>1</v>
      </c>
      <c r="E14" s="192" t="n">
        <f aca="false">SUM(E10:E13)</f>
        <v>1</v>
      </c>
      <c r="F14" s="192" t="n">
        <f aca="false">SUM(F10:F13)</f>
        <v>1</v>
      </c>
      <c r="G14" s="192" t="n">
        <f aca="false">SUM(G10:G13)</f>
        <v>0</v>
      </c>
      <c r="H14" s="192" t="n">
        <f aca="false">SUM(H10:H13)</f>
        <v>0</v>
      </c>
      <c r="I14" s="192" t="n">
        <f aca="false">SUM(I10:I13)</f>
        <v>7</v>
      </c>
      <c r="J14" s="192" t="n">
        <f aca="false">SUM(J10:J13)</f>
        <v>0</v>
      </c>
      <c r="K14" s="192" t="n">
        <f aca="false">SUM(K10:K13)</f>
        <v>3</v>
      </c>
      <c r="L14" s="192" t="n">
        <f aca="false">SUM(L10:L13)</f>
        <v>0</v>
      </c>
      <c r="M14" s="192" t="n">
        <f aca="false">SUM(M10:M13)</f>
        <v>2</v>
      </c>
      <c r="N14" s="192" t="n">
        <f aca="false">SUM(N10:N13)</f>
        <v>0</v>
      </c>
      <c r="O14" s="192" t="n">
        <f aca="false">SUM(O10:O13)</f>
        <v>6</v>
      </c>
    </row>
    <row r="15" customFormat="false" ht="15" hidden="false" customHeight="true" outlineLevel="0" collapsed="false">
      <c r="B15" s="190"/>
      <c r="C15" s="190"/>
      <c r="D15" s="190"/>
      <c r="E15" s="190"/>
      <c r="F15" s="0"/>
      <c r="G15" s="190"/>
      <c r="H15" s="190"/>
      <c r="I15" s="0"/>
      <c r="J15" s="190"/>
      <c r="K15" s="190"/>
      <c r="L15" s="0"/>
      <c r="M15" s="0"/>
      <c r="N15" s="0"/>
      <c r="O15" s="0"/>
    </row>
    <row r="16" customFormat="false" ht="15" hidden="false" customHeight="true" outlineLevel="0" collapsed="false">
      <c r="B16" s="188" t="s">
        <v>138</v>
      </c>
      <c r="C16" s="190" t="n">
        <f aca="false">0</f>
        <v>0</v>
      </c>
      <c r="D16" s="190"/>
      <c r="E16" s="190"/>
      <c r="F16" s="0"/>
      <c r="G16" s="190"/>
      <c r="H16" s="190"/>
      <c r="I16" s="0"/>
      <c r="J16" s="190"/>
      <c r="K16" s="190"/>
      <c r="L16" s="0"/>
      <c r="M16" s="0"/>
      <c r="N16" s="0"/>
      <c r="O16" s="0"/>
    </row>
    <row r="17" customFormat="false" ht="15" hidden="false" customHeight="true" outlineLevel="0" collapsed="false">
      <c r="B17" s="190" t="s">
        <v>139</v>
      </c>
      <c r="C17" s="190" t="n">
        <f aca="false">Payroll!G17</f>
        <v>1</v>
      </c>
      <c r="D17" s="190" t="n">
        <f aca="false">Payroll!H17-Payroll!G17</f>
        <v>1</v>
      </c>
      <c r="E17" s="190" t="n">
        <f aca="false">Payroll!I17-Payroll!H17</f>
        <v>0</v>
      </c>
      <c r="F17" s="190" t="n">
        <f aca="false">Payroll!J17-Payroll!I17</f>
        <v>0</v>
      </c>
      <c r="G17" s="190" t="n">
        <f aca="false">Payroll!K17-Payroll!J17</f>
        <v>0</v>
      </c>
      <c r="H17" s="190" t="n">
        <f aca="false">Payroll!L17-Payroll!K17</f>
        <v>0</v>
      </c>
      <c r="I17" s="190" t="n">
        <f aca="false">Payroll!M17-Payroll!L17</f>
        <v>2</v>
      </c>
      <c r="J17" s="190" t="n">
        <f aca="false">Payroll!N17-Payroll!M17</f>
        <v>0</v>
      </c>
      <c r="K17" s="190" t="n">
        <f aca="false">Payroll!O17-Payroll!N17</f>
        <v>1</v>
      </c>
      <c r="L17" s="190" t="n">
        <f aca="false">Payroll!P17-Payroll!O17</f>
        <v>0</v>
      </c>
      <c r="M17" s="190" t="n">
        <f aca="false">Payroll!Q17-Payroll!P17</f>
        <v>0</v>
      </c>
      <c r="N17" s="190" t="n">
        <f aca="false">Payroll!R17-Payroll!Q17</f>
        <v>0</v>
      </c>
      <c r="O17" s="190" t="n">
        <f aca="false">Payroll!S17-Payroll!R17</f>
        <v>4</v>
      </c>
    </row>
    <row r="18" customFormat="false" ht="15" hidden="false" customHeight="true" outlineLevel="0" collapsed="false">
      <c r="B18" s="190" t="s">
        <v>114</v>
      </c>
      <c r="C18" s="190" t="n">
        <f aca="false">Payroll!G16</f>
        <v>2</v>
      </c>
      <c r="D18" s="190" t="n">
        <f aca="false">Payroll!H16-Payroll!G16</f>
        <v>0</v>
      </c>
      <c r="E18" s="190" t="n">
        <f aca="false">Payroll!I16-Payroll!H16</f>
        <v>0</v>
      </c>
      <c r="F18" s="190" t="n">
        <f aca="false">Payroll!J16-Payroll!I16</f>
        <v>1</v>
      </c>
      <c r="G18" s="190" t="n">
        <f aca="false">Payroll!K16-Payroll!J16</f>
        <v>0</v>
      </c>
      <c r="H18" s="190" t="n">
        <f aca="false">Payroll!L16-Payroll!K16</f>
        <v>0</v>
      </c>
      <c r="I18" s="190" t="n">
        <f aca="false">Payroll!M16-Payroll!L16</f>
        <v>2</v>
      </c>
      <c r="J18" s="190" t="n">
        <f aca="false">Payroll!N16-Payroll!M16</f>
        <v>0</v>
      </c>
      <c r="K18" s="190" t="n">
        <f aca="false">Payroll!O16-Payroll!N16</f>
        <v>2</v>
      </c>
      <c r="L18" s="190" t="n">
        <f aca="false">Payroll!P16-Payroll!O16</f>
        <v>0</v>
      </c>
      <c r="M18" s="190" t="n">
        <f aca="false">Payroll!Q16-Payroll!P16</f>
        <v>2</v>
      </c>
      <c r="N18" s="190" t="n">
        <f aca="false">Payroll!R16-Payroll!Q16</f>
        <v>0</v>
      </c>
      <c r="O18" s="190" t="n">
        <f aca="false">Payroll!S16-Payroll!R16</f>
        <v>2</v>
      </c>
    </row>
    <row r="19" customFormat="false" ht="15" hidden="false" customHeight="true" outlineLevel="0" collapsed="false">
      <c r="B19" s="193" t="s">
        <v>15</v>
      </c>
      <c r="C19" s="194" t="n">
        <f aca="false">SUM(C17:C18)</f>
        <v>3</v>
      </c>
      <c r="D19" s="194" t="n">
        <f aca="false">SUM(D17:D18)</f>
        <v>1</v>
      </c>
      <c r="E19" s="194" t="n">
        <f aca="false">SUM(E17:E18)</f>
        <v>0</v>
      </c>
      <c r="F19" s="194" t="n">
        <f aca="false">SUM(F17:F18)</f>
        <v>1</v>
      </c>
      <c r="G19" s="194" t="n">
        <f aca="false">SUM(G17:G18)</f>
        <v>0</v>
      </c>
      <c r="H19" s="194" t="n">
        <f aca="false">SUM(H17:H18)</f>
        <v>0</v>
      </c>
      <c r="I19" s="194" t="n">
        <f aca="false">SUM(I17:I18)</f>
        <v>4</v>
      </c>
      <c r="J19" s="194" t="n">
        <f aca="false">SUM(J17:J18)</f>
        <v>0</v>
      </c>
      <c r="K19" s="194" t="n">
        <f aca="false">SUM(K17:K18)</f>
        <v>3</v>
      </c>
      <c r="L19" s="194" t="n">
        <f aca="false">SUM(L17:L18)</f>
        <v>0</v>
      </c>
      <c r="M19" s="194" t="n">
        <f aca="false">SUM(M17:M18)</f>
        <v>2</v>
      </c>
      <c r="N19" s="194" t="n">
        <f aca="false">SUM(N17:N18)</f>
        <v>0</v>
      </c>
      <c r="O19" s="194" t="n">
        <f aca="false">SUM(O17:O18)</f>
        <v>6</v>
      </c>
    </row>
    <row r="20" customFormat="false" ht="15" hidden="false" customHeight="true" outlineLevel="0" collapsed="false">
      <c r="B20" s="190"/>
      <c r="C20" s="190"/>
      <c r="D20" s="190"/>
      <c r="E20" s="190"/>
      <c r="G20" s="190"/>
      <c r="H20" s="190"/>
      <c r="J20" s="190"/>
      <c r="K20" s="190"/>
    </row>
    <row r="21" customFormat="false" ht="15" hidden="false" customHeight="true" outlineLevel="0" collapsed="false">
      <c r="B21" s="195" t="s">
        <v>140</v>
      </c>
      <c r="C21" s="196" t="n">
        <v>0.1</v>
      </c>
      <c r="D21" s="190"/>
      <c r="E21" s="190"/>
      <c r="G21" s="190"/>
      <c r="H21" s="190"/>
      <c r="J21" s="190"/>
      <c r="K21" s="190"/>
    </row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1048576" customFormat="fals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2016-11-25T08:41:56Z</dcterms:created>
  <dc:creator>Tejaswini</dc:creator>
  <dc:description/>
  <dc:language>en-IN</dc:language>
  <cp:lastModifiedBy>Rohith</cp:lastModifiedBy>
  <dcterms:modified xsi:type="dcterms:W3CDTF">2017-10-14T17:16:57Z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